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05" yWindow="-105" windowWidth="20715" windowHeight="13275" firstSheet="2" activeTab="2"/>
  </bookViews>
  <sheets>
    <sheet name="Acid vial stuff" sheetId="1" r:id="rId1"/>
    <sheet name="Digests &amp; dilutions (strong)" sheetId="2" r:id="rId2"/>
    <sheet name="Digests &amp; dilutions (weak)" sheetId="4" r:id="rId3"/>
    <sheet name="Sheet3" sheetId="3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3" i="4" l="1"/>
  <c r="AL4" i="4"/>
  <c r="AL3" i="4"/>
  <c r="AK3" i="4"/>
  <c r="AI4" i="4"/>
  <c r="AI3" i="4"/>
  <c r="AF4" i="4" l="1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3" i="4"/>
  <c r="AG3" i="4"/>
  <c r="AJ3" i="4"/>
  <c r="AL21" i="4" l="1"/>
  <c r="AI21" i="4"/>
  <c r="AL20" i="4"/>
  <c r="AI20" i="4"/>
  <c r="AL19" i="4"/>
  <c r="AI19" i="4"/>
  <c r="AL18" i="4"/>
  <c r="AI18" i="4"/>
  <c r="AL17" i="4"/>
  <c r="AI17" i="4"/>
  <c r="AL16" i="4"/>
  <c r="AI16" i="4"/>
  <c r="AL15" i="4"/>
  <c r="AI15" i="4"/>
  <c r="AI14" i="4"/>
  <c r="AL14" i="4"/>
  <c r="AI13" i="4"/>
  <c r="AL13" i="4"/>
  <c r="AL12" i="4"/>
  <c r="AI12" i="4"/>
  <c r="AI11" i="4"/>
  <c r="AL11" i="4"/>
  <c r="AI10" i="4"/>
  <c r="AL10" i="4"/>
  <c r="AL9" i="4"/>
  <c r="AI9" i="4"/>
  <c r="AL8" i="4"/>
  <c r="AI8" i="4"/>
  <c r="AI7" i="4"/>
  <c r="AL7" i="4"/>
  <c r="AL6" i="4"/>
  <c r="AI6" i="4"/>
  <c r="AL5" i="4"/>
  <c r="AI5" i="4"/>
  <c r="AN3" i="4"/>
  <c r="AI3" i="2"/>
  <c r="AH3" i="2"/>
  <c r="AG3" i="2"/>
  <c r="Q10" i="4"/>
  <c r="O22" i="4"/>
  <c r="N22" i="2"/>
  <c r="P22" i="2" l="1"/>
  <c r="R22" i="2" s="1"/>
  <c r="S22" i="2" l="1"/>
  <c r="U22" i="2" s="1"/>
  <c r="E22" i="4"/>
  <c r="F5" i="4"/>
  <c r="F8" i="4"/>
  <c r="F9" i="4"/>
  <c r="F12" i="4"/>
  <c r="F13" i="4"/>
  <c r="F16" i="4"/>
  <c r="F17" i="4"/>
  <c r="F20" i="4"/>
  <c r="F21" i="4"/>
  <c r="B45" i="1"/>
  <c r="C33" i="4"/>
  <c r="I22" i="4"/>
  <c r="E21" i="4"/>
  <c r="I21" i="4" s="1"/>
  <c r="E20" i="4"/>
  <c r="I20" i="4" s="1"/>
  <c r="E19" i="4"/>
  <c r="I19" i="4" s="1"/>
  <c r="E18" i="4"/>
  <c r="E17" i="4"/>
  <c r="I17" i="4" s="1"/>
  <c r="E16" i="4"/>
  <c r="I16" i="4" s="1"/>
  <c r="E15" i="4"/>
  <c r="I15" i="4" s="1"/>
  <c r="E14" i="4"/>
  <c r="E13" i="4"/>
  <c r="I13" i="4" s="1"/>
  <c r="E12" i="4"/>
  <c r="I12" i="4" s="1"/>
  <c r="E11" i="4"/>
  <c r="I11" i="4" s="1"/>
  <c r="E10" i="4"/>
  <c r="E9" i="4"/>
  <c r="I9" i="4" s="1"/>
  <c r="E8" i="4"/>
  <c r="I8" i="4" s="1"/>
  <c r="E7" i="4"/>
  <c r="I7" i="4" s="1"/>
  <c r="I6" i="4"/>
  <c r="E6" i="4"/>
  <c r="F6" i="4" s="1"/>
  <c r="E5" i="4"/>
  <c r="I5" i="4" s="1"/>
  <c r="E4" i="4"/>
  <c r="I4" i="4" s="1"/>
  <c r="E3" i="4"/>
  <c r="I21" i="2"/>
  <c r="J21" i="2" s="1"/>
  <c r="I19" i="2"/>
  <c r="J19" i="2" s="1"/>
  <c r="I17" i="2"/>
  <c r="J17" i="2" s="1"/>
  <c r="I15" i="2"/>
  <c r="J15" i="2" s="1"/>
  <c r="I13" i="2"/>
  <c r="J13" i="2" s="1"/>
  <c r="I11" i="2"/>
  <c r="J11" i="2" s="1"/>
  <c r="I9" i="2"/>
  <c r="J9" i="2" s="1"/>
  <c r="I7" i="2"/>
  <c r="J7" i="2" s="1"/>
  <c r="I5" i="2"/>
  <c r="J5" i="2" s="1"/>
  <c r="E4" i="2"/>
  <c r="I4" i="2" s="1"/>
  <c r="J4" i="2" s="1"/>
  <c r="E5" i="2"/>
  <c r="E6" i="2"/>
  <c r="I6" i="2" s="1"/>
  <c r="J6" i="2" s="1"/>
  <c r="E7" i="2"/>
  <c r="E8" i="2"/>
  <c r="I8" i="2" s="1"/>
  <c r="J8" i="2" s="1"/>
  <c r="E9" i="2"/>
  <c r="E10" i="2"/>
  <c r="I10" i="2" s="1"/>
  <c r="J10" i="2" s="1"/>
  <c r="E11" i="2"/>
  <c r="E12" i="2"/>
  <c r="I12" i="2" s="1"/>
  <c r="J12" i="2" s="1"/>
  <c r="E13" i="2"/>
  <c r="E14" i="2"/>
  <c r="I14" i="2" s="1"/>
  <c r="J14" i="2" s="1"/>
  <c r="E15" i="2"/>
  <c r="E16" i="2"/>
  <c r="I16" i="2" s="1"/>
  <c r="J16" i="2" s="1"/>
  <c r="E17" i="2"/>
  <c r="E18" i="2"/>
  <c r="I18" i="2" s="1"/>
  <c r="J18" i="2" s="1"/>
  <c r="E19" i="2"/>
  <c r="E20" i="2"/>
  <c r="I20" i="2" s="1"/>
  <c r="J20" i="2" s="1"/>
  <c r="E21" i="2"/>
  <c r="E22" i="2"/>
  <c r="I22" i="2" s="1"/>
  <c r="E3" i="2"/>
  <c r="I3" i="2" s="1"/>
  <c r="J3" i="2" s="1"/>
  <c r="I3" i="4" l="1"/>
  <c r="F3" i="4"/>
  <c r="K6" i="4"/>
  <c r="J6" i="4"/>
  <c r="I10" i="4"/>
  <c r="F10" i="4"/>
  <c r="I14" i="4"/>
  <c r="F14" i="4"/>
  <c r="I18" i="4"/>
  <c r="F18" i="4"/>
  <c r="K4" i="4"/>
  <c r="L4" i="4" s="1"/>
  <c r="M4" i="4" s="1"/>
  <c r="O4" i="4" s="1"/>
  <c r="J4" i="4"/>
  <c r="K7" i="4"/>
  <c r="J7" i="4"/>
  <c r="K11" i="4"/>
  <c r="L11" i="4" s="1"/>
  <c r="M11" i="4" s="1"/>
  <c r="O11" i="4" s="1"/>
  <c r="J11" i="4"/>
  <c r="K15" i="4"/>
  <c r="J15" i="4"/>
  <c r="K19" i="4"/>
  <c r="L19" i="4" s="1"/>
  <c r="M19" i="4" s="1"/>
  <c r="O19" i="4" s="1"/>
  <c r="J19" i="4"/>
  <c r="F4" i="4"/>
  <c r="K5" i="4"/>
  <c r="J5" i="4"/>
  <c r="K8" i="4"/>
  <c r="L8" i="4" s="1"/>
  <c r="M8" i="4" s="1"/>
  <c r="O8" i="4" s="1"/>
  <c r="J8" i="4"/>
  <c r="K12" i="4"/>
  <c r="J12" i="4"/>
  <c r="K16" i="4"/>
  <c r="J16" i="4"/>
  <c r="K20" i="4"/>
  <c r="J20" i="4"/>
  <c r="F19" i="4"/>
  <c r="F15" i="4"/>
  <c r="F11" i="4"/>
  <c r="F7" i="4"/>
  <c r="K9" i="4"/>
  <c r="L9" i="4" s="1"/>
  <c r="M9" i="4" s="1"/>
  <c r="O9" i="4" s="1"/>
  <c r="J9" i="4"/>
  <c r="K13" i="4"/>
  <c r="J13" i="4"/>
  <c r="K17" i="4"/>
  <c r="L17" i="4" s="1"/>
  <c r="M17" i="4" s="1"/>
  <c r="O17" i="4" s="1"/>
  <c r="J17" i="4"/>
  <c r="K21" i="4"/>
  <c r="J21" i="4"/>
  <c r="L5" i="4"/>
  <c r="M5" i="4" s="1"/>
  <c r="O5" i="4" s="1"/>
  <c r="L6" i="4"/>
  <c r="M6" i="4" s="1"/>
  <c r="O6" i="4" s="1"/>
  <c r="L12" i="4"/>
  <c r="M12" i="4" s="1"/>
  <c r="O12" i="4" s="1"/>
  <c r="L16" i="4"/>
  <c r="M16" i="4" s="1"/>
  <c r="O16" i="4" s="1"/>
  <c r="L20" i="4"/>
  <c r="M20" i="4" s="1"/>
  <c r="O20" i="4" s="1"/>
  <c r="L7" i="4"/>
  <c r="M7" i="4" s="1"/>
  <c r="O7" i="4" s="1"/>
  <c r="L13" i="4"/>
  <c r="M13" i="4" s="1"/>
  <c r="O13" i="4" s="1"/>
  <c r="L15" i="4"/>
  <c r="M15" i="4" s="1"/>
  <c r="O15" i="4" s="1"/>
  <c r="M21" i="4"/>
  <c r="O21" i="4" s="1"/>
  <c r="P21" i="4" s="1"/>
  <c r="L21" i="4"/>
  <c r="T22" i="2"/>
  <c r="R22" i="4"/>
  <c r="U22" i="4"/>
  <c r="W22" i="4" s="1"/>
  <c r="C33" i="2"/>
  <c r="K2" i="1"/>
  <c r="J3" i="1"/>
  <c r="J4" i="1" s="1"/>
  <c r="K4" i="1" s="1"/>
  <c r="H2" i="1"/>
  <c r="G3" i="1"/>
  <c r="H3" i="1" s="1"/>
  <c r="C2" i="1"/>
  <c r="D2" i="1" s="1"/>
  <c r="B39" i="1"/>
  <c r="B3" i="1"/>
  <c r="C3" i="1" s="1"/>
  <c r="D3" i="1" s="1"/>
  <c r="U19" i="4" l="1"/>
  <c r="W19" i="4" s="1"/>
  <c r="R19" i="4"/>
  <c r="K18" i="4"/>
  <c r="L18" i="4" s="1"/>
  <c r="M18" i="4" s="1"/>
  <c r="O18" i="4" s="1"/>
  <c r="R18" i="4" s="1"/>
  <c r="J18" i="4"/>
  <c r="K10" i="4"/>
  <c r="L10" i="4" s="1"/>
  <c r="M10" i="4" s="1"/>
  <c r="O10" i="4" s="1"/>
  <c r="J10" i="4"/>
  <c r="R8" i="4"/>
  <c r="J3" i="4"/>
  <c r="J25" i="4" s="1"/>
  <c r="K3" i="4"/>
  <c r="L3" i="4" s="1"/>
  <c r="K6" i="2"/>
  <c r="K10" i="2"/>
  <c r="K14" i="2"/>
  <c r="K18" i="2"/>
  <c r="K3" i="2"/>
  <c r="L3" i="2" s="1"/>
  <c r="N3" i="2" s="1"/>
  <c r="P3" i="2" s="1"/>
  <c r="K7" i="2"/>
  <c r="K11" i="2"/>
  <c r="K15" i="2"/>
  <c r="K19" i="2"/>
  <c r="K4" i="2"/>
  <c r="K8" i="2"/>
  <c r="K9" i="2"/>
  <c r="K17" i="2"/>
  <c r="K12" i="2"/>
  <c r="K20" i="2"/>
  <c r="K13" i="2"/>
  <c r="K21" i="2"/>
  <c r="K5" i="2"/>
  <c r="K16" i="2"/>
  <c r="R21" i="4"/>
  <c r="K14" i="4"/>
  <c r="L14" i="4" s="1"/>
  <c r="M14" i="4" s="1"/>
  <c r="O14" i="4" s="1"/>
  <c r="P14" i="4" s="1"/>
  <c r="J14" i="4"/>
  <c r="R17" i="4"/>
  <c r="P13" i="4"/>
  <c r="R13" i="4"/>
  <c r="R4" i="4"/>
  <c r="T4" i="4" s="1"/>
  <c r="T18" i="4"/>
  <c r="R14" i="4"/>
  <c r="P10" i="4"/>
  <c r="R10" i="4"/>
  <c r="P15" i="4"/>
  <c r="R15" i="4"/>
  <c r="R11" i="4"/>
  <c r="T11" i="4" s="1"/>
  <c r="U7" i="4"/>
  <c r="W7" i="4" s="1"/>
  <c r="R7" i="4"/>
  <c r="T20" i="4"/>
  <c r="R20" i="4"/>
  <c r="R16" i="4"/>
  <c r="R12" i="4"/>
  <c r="U6" i="4"/>
  <c r="W6" i="4" s="1"/>
  <c r="R6" i="4"/>
  <c r="R5" i="4"/>
  <c r="R9" i="4"/>
  <c r="U9" i="4" s="1"/>
  <c r="W9" i="4" s="1"/>
  <c r="T22" i="4"/>
  <c r="T7" i="4"/>
  <c r="T10" i="4"/>
  <c r="T12" i="4"/>
  <c r="T19" i="4"/>
  <c r="V19" i="4" s="1"/>
  <c r="T6" i="4"/>
  <c r="T21" i="4"/>
  <c r="T16" i="4"/>
  <c r="T15" i="4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G4" i="1"/>
  <c r="K3" i="1"/>
  <c r="J5" i="1"/>
  <c r="K5" i="1" s="1"/>
  <c r="C23" i="1"/>
  <c r="D23" i="1" s="1"/>
  <c r="C19" i="1"/>
  <c r="D19" i="1" s="1"/>
  <c r="C9" i="1"/>
  <c r="D9" i="1" s="1"/>
  <c r="C7" i="1"/>
  <c r="D7" i="1" s="1"/>
  <c r="C27" i="1"/>
  <c r="D27" i="1" s="1"/>
  <c r="C17" i="1"/>
  <c r="D17" i="1" s="1"/>
  <c r="C13" i="1"/>
  <c r="D13" i="1" s="1"/>
  <c r="C11" i="1"/>
  <c r="D11" i="1" s="1"/>
  <c r="C5" i="1"/>
  <c r="D5" i="1" s="1"/>
  <c r="C26" i="1"/>
  <c r="D26" i="1" s="1"/>
  <c r="C24" i="1"/>
  <c r="D24" i="1" s="1"/>
  <c r="C20" i="1"/>
  <c r="D20" i="1" s="1"/>
  <c r="C18" i="1"/>
  <c r="D18" i="1" s="1"/>
  <c r="C16" i="1"/>
  <c r="D16" i="1" s="1"/>
  <c r="C14" i="1"/>
  <c r="D14" i="1" s="1"/>
  <c r="C12" i="1"/>
  <c r="D12" i="1" s="1"/>
  <c r="C10" i="1"/>
  <c r="D10" i="1" s="1"/>
  <c r="C8" i="1"/>
  <c r="D8" i="1" s="1"/>
  <c r="C6" i="1"/>
  <c r="D6" i="1" s="1"/>
  <c r="C4" i="1"/>
  <c r="D4" i="1" s="1"/>
  <c r="T14" i="4" l="1"/>
  <c r="U8" i="4"/>
  <c r="W8" i="4" s="1"/>
  <c r="T8" i="4"/>
  <c r="V21" i="4"/>
  <c r="U10" i="4"/>
  <c r="W10" i="4" s="1"/>
  <c r="U4" i="4"/>
  <c r="W4" i="4" s="1"/>
  <c r="Z4" i="4" s="1"/>
  <c r="L13" i="2"/>
  <c r="N13" i="2" s="1"/>
  <c r="L9" i="2"/>
  <c r="N9" i="2" s="1"/>
  <c r="L15" i="2"/>
  <c r="N15" i="2" s="1"/>
  <c r="L18" i="2"/>
  <c r="N18" i="2" s="1"/>
  <c r="U21" i="4"/>
  <c r="W21" i="4" s="1"/>
  <c r="U18" i="4"/>
  <c r="W18" i="4" s="1"/>
  <c r="Z18" i="4" s="1"/>
  <c r="L5" i="2"/>
  <c r="N5" i="2" s="1"/>
  <c r="L12" i="2"/>
  <c r="N12" i="2" s="1"/>
  <c r="L4" i="2"/>
  <c r="N4" i="2" s="1"/>
  <c r="L7" i="2"/>
  <c r="N7" i="2" s="1"/>
  <c r="L10" i="2"/>
  <c r="N10" i="2" s="1"/>
  <c r="U5" i="4"/>
  <c r="W5" i="4" s="1"/>
  <c r="U20" i="4"/>
  <c r="W20" i="4" s="1"/>
  <c r="Z20" i="4" s="1"/>
  <c r="U11" i="4"/>
  <c r="W11" i="4" s="1"/>
  <c r="Z11" i="4" s="1"/>
  <c r="L21" i="2"/>
  <c r="N21" i="2" s="1"/>
  <c r="L17" i="2"/>
  <c r="N17" i="2" s="1"/>
  <c r="L19" i="2"/>
  <c r="N19" i="2" s="1"/>
  <c r="L6" i="2"/>
  <c r="N6" i="2" s="1"/>
  <c r="L16" i="2"/>
  <c r="N16" i="2" s="1"/>
  <c r="L20" i="2"/>
  <c r="N20" i="2" s="1"/>
  <c r="L8" i="2"/>
  <c r="N8" i="2" s="1"/>
  <c r="L11" i="2"/>
  <c r="N11" i="2" s="1"/>
  <c r="L14" i="2"/>
  <c r="N14" i="2" s="1"/>
  <c r="M3" i="4"/>
  <c r="O3" i="4" s="1"/>
  <c r="U13" i="4"/>
  <c r="W13" i="4" s="1"/>
  <c r="T13" i="4"/>
  <c r="U17" i="4"/>
  <c r="W17" i="4" s="1"/>
  <c r="T17" i="4"/>
  <c r="T5" i="4"/>
  <c r="U12" i="4"/>
  <c r="W12" i="4" s="1"/>
  <c r="Z12" i="4" s="1"/>
  <c r="U16" i="4"/>
  <c r="W16" i="4" s="1"/>
  <c r="X16" i="4" s="1"/>
  <c r="Y16" i="4" s="1"/>
  <c r="AB16" i="4" s="1"/>
  <c r="U15" i="4"/>
  <c r="W15" i="4" s="1"/>
  <c r="Z15" i="4" s="1"/>
  <c r="U14" i="4"/>
  <c r="W14" i="4" s="1"/>
  <c r="Z14" i="4" s="1"/>
  <c r="T9" i="4"/>
  <c r="V6" i="4"/>
  <c r="Z7" i="4"/>
  <c r="X7" i="4"/>
  <c r="Y7" i="4" s="1"/>
  <c r="AB7" i="4" s="1"/>
  <c r="X19" i="4"/>
  <c r="Y19" i="4" s="1"/>
  <c r="AB19" i="4" s="1"/>
  <c r="AC19" i="4" s="1"/>
  <c r="Z19" i="4"/>
  <c r="V10" i="4"/>
  <c r="V16" i="4"/>
  <c r="X6" i="4"/>
  <c r="Y6" i="4" s="1"/>
  <c r="AB6" i="4" s="1"/>
  <c r="AC6" i="4" s="1"/>
  <c r="Z6" i="4"/>
  <c r="X10" i="4"/>
  <c r="Y10" i="4" s="1"/>
  <c r="AB10" i="4" s="1"/>
  <c r="Z10" i="4"/>
  <c r="Z16" i="4"/>
  <c r="V7" i="4"/>
  <c r="V22" i="4"/>
  <c r="AG7" i="4"/>
  <c r="C21" i="1"/>
  <c r="D21" i="1" s="1"/>
  <c r="C28" i="1"/>
  <c r="D28" i="1" s="1"/>
  <c r="C22" i="1"/>
  <c r="D22" i="1" s="1"/>
  <c r="C25" i="1"/>
  <c r="D25" i="1" s="1"/>
  <c r="C15" i="1"/>
  <c r="D15" i="1" s="1"/>
  <c r="G5" i="1"/>
  <c r="H4" i="1"/>
  <c r="J6" i="1"/>
  <c r="K6" i="1" s="1"/>
  <c r="B30" i="1"/>
  <c r="C29" i="1"/>
  <c r="D29" i="1" s="1"/>
  <c r="V20" i="4" l="1"/>
  <c r="X15" i="4"/>
  <c r="Y15" i="4" s="1"/>
  <c r="AB15" i="4" s="1"/>
  <c r="AC15" i="4" s="1"/>
  <c r="V15" i="4"/>
  <c r="V8" i="4"/>
  <c r="V4" i="4"/>
  <c r="X4" i="4"/>
  <c r="Y4" i="4" s="1"/>
  <c r="AB4" i="4" s="1"/>
  <c r="V11" i="4"/>
  <c r="V18" i="4"/>
  <c r="X14" i="4"/>
  <c r="Y14" i="4" s="1"/>
  <c r="AB14" i="4" s="1"/>
  <c r="X18" i="4"/>
  <c r="Y18" i="4" s="1"/>
  <c r="AB18" i="4" s="1"/>
  <c r="AC18" i="4" s="1"/>
  <c r="X11" i="4"/>
  <c r="Y11" i="4" s="1"/>
  <c r="AB11" i="4" s="1"/>
  <c r="AC11" i="4" s="1"/>
  <c r="AG6" i="4"/>
  <c r="AJ6" i="4" s="1"/>
  <c r="V12" i="4"/>
  <c r="X12" i="4"/>
  <c r="Y12" i="4" s="1"/>
  <c r="AB12" i="4" s="1"/>
  <c r="AG16" i="4"/>
  <c r="AC16" i="4"/>
  <c r="P20" i="2"/>
  <c r="R20" i="2" s="1"/>
  <c r="S12" i="2"/>
  <c r="U12" i="2" s="1"/>
  <c r="P12" i="2"/>
  <c r="P15" i="2"/>
  <c r="S8" i="2"/>
  <c r="U8" i="2" s="1"/>
  <c r="P8" i="2"/>
  <c r="P19" i="2"/>
  <c r="P21" i="2"/>
  <c r="P7" i="2"/>
  <c r="Z21" i="4"/>
  <c r="X21" i="4"/>
  <c r="Y21" i="4" s="1"/>
  <c r="AB21" i="4" s="1"/>
  <c r="X20" i="4"/>
  <c r="Y20" i="4" s="1"/>
  <c r="AB20" i="4" s="1"/>
  <c r="AC20" i="4" s="1"/>
  <c r="AG10" i="4"/>
  <c r="AC10" i="4"/>
  <c r="AJ7" i="4"/>
  <c r="AC7" i="4"/>
  <c r="V5" i="4"/>
  <c r="P10" i="2"/>
  <c r="R10" i="2" s="1"/>
  <c r="P5" i="2"/>
  <c r="Z8" i="4"/>
  <c r="X8" i="4"/>
  <c r="Y8" i="4" s="1"/>
  <c r="AB8" i="4" s="1"/>
  <c r="AC8" i="4" s="1"/>
  <c r="P6" i="2"/>
  <c r="R6" i="2" s="1"/>
  <c r="P17" i="2"/>
  <c r="P13" i="2"/>
  <c r="P14" i="2"/>
  <c r="R14" i="2" s="1"/>
  <c r="P16" i="2"/>
  <c r="R16" i="2" s="1"/>
  <c r="X5" i="4"/>
  <c r="Y5" i="4" s="1"/>
  <c r="AB5" i="4" s="1"/>
  <c r="AC5" i="4" s="1"/>
  <c r="Z5" i="4"/>
  <c r="R3" i="4"/>
  <c r="P11" i="2"/>
  <c r="P4" i="2"/>
  <c r="R4" i="2" s="1"/>
  <c r="P18" i="2"/>
  <c r="R18" i="2" s="1"/>
  <c r="P9" i="2"/>
  <c r="Z17" i="4"/>
  <c r="X17" i="4"/>
  <c r="Y17" i="4" s="1"/>
  <c r="AB17" i="4" s="1"/>
  <c r="AC17" i="4" s="1"/>
  <c r="Z13" i="4"/>
  <c r="X13" i="4"/>
  <c r="Y13" i="4" s="1"/>
  <c r="AB13" i="4" s="1"/>
  <c r="AC13" i="4" s="1"/>
  <c r="V14" i="4"/>
  <c r="V17" i="4"/>
  <c r="V13" i="4"/>
  <c r="V9" i="4"/>
  <c r="Z9" i="4"/>
  <c r="X9" i="4"/>
  <c r="Y9" i="4" s="1"/>
  <c r="AB9" i="4" s="1"/>
  <c r="AC9" i="4" s="1"/>
  <c r="AG18" i="4"/>
  <c r="AG15" i="4"/>
  <c r="AG19" i="4"/>
  <c r="AJ4" i="4"/>
  <c r="G6" i="1"/>
  <c r="H5" i="1"/>
  <c r="S3" i="2"/>
  <c r="U3" i="2" s="1"/>
  <c r="X3" i="2" s="1"/>
  <c r="J7" i="1"/>
  <c r="K7" i="1" s="1"/>
  <c r="C30" i="1"/>
  <c r="D30" i="1" s="1"/>
  <c r="B31" i="1"/>
  <c r="C31" i="1" s="1"/>
  <c r="D31" i="1" s="1"/>
  <c r="AG11" i="4" l="1"/>
  <c r="AC4" i="4"/>
  <c r="AG4" i="4"/>
  <c r="AG13" i="4"/>
  <c r="AG17" i="4"/>
  <c r="AG14" i="4"/>
  <c r="AJ14" i="4" s="1"/>
  <c r="AC14" i="4"/>
  <c r="AG8" i="4"/>
  <c r="AJ5" i="4"/>
  <c r="AJ18" i="4"/>
  <c r="AN18" i="4" s="1"/>
  <c r="AC12" i="4"/>
  <c r="AG12" i="4"/>
  <c r="S11" i="2"/>
  <c r="U11" i="2" s="1"/>
  <c r="R11" i="2"/>
  <c r="T11" i="2" s="1"/>
  <c r="R17" i="2"/>
  <c r="S17" i="2"/>
  <c r="U17" i="2" s="1"/>
  <c r="R5" i="2"/>
  <c r="S5" i="2"/>
  <c r="U5" i="2" s="1"/>
  <c r="X8" i="2"/>
  <c r="V8" i="2"/>
  <c r="X12" i="2"/>
  <c r="V12" i="2"/>
  <c r="AJ10" i="4"/>
  <c r="AM10" i="4" s="1"/>
  <c r="S18" i="2"/>
  <c r="U18" i="2" s="1"/>
  <c r="S14" i="2"/>
  <c r="U14" i="2" s="1"/>
  <c r="R7" i="2"/>
  <c r="S7" i="2"/>
  <c r="U7" i="2" s="1"/>
  <c r="R19" i="2"/>
  <c r="S19" i="2"/>
  <c r="U19" i="2" s="1"/>
  <c r="R15" i="2"/>
  <c r="S15" i="2"/>
  <c r="U15" i="2" s="1"/>
  <c r="AJ16" i="4"/>
  <c r="AN16" i="4" s="1"/>
  <c r="R9" i="2"/>
  <c r="S9" i="2"/>
  <c r="U9" i="2" s="1"/>
  <c r="U3" i="4"/>
  <c r="W3" i="4" s="1"/>
  <c r="T3" i="4"/>
  <c r="V3" i="4" s="1"/>
  <c r="R13" i="2"/>
  <c r="S13" i="2"/>
  <c r="U13" i="2" s="1"/>
  <c r="S20" i="2"/>
  <c r="U20" i="2" s="1"/>
  <c r="AG5" i="4"/>
  <c r="AG20" i="4"/>
  <c r="S4" i="2"/>
  <c r="U4" i="2" s="1"/>
  <c r="S16" i="2"/>
  <c r="U16" i="2" s="1"/>
  <c r="S6" i="2"/>
  <c r="U6" i="2" s="1"/>
  <c r="S10" i="2"/>
  <c r="U10" i="2" s="1"/>
  <c r="AC21" i="4"/>
  <c r="AG21" i="4"/>
  <c r="R21" i="2"/>
  <c r="S21" i="2"/>
  <c r="U21" i="2" s="1"/>
  <c r="R8" i="2"/>
  <c r="T8" i="2" s="1"/>
  <c r="R12" i="2"/>
  <c r="T12" i="2" s="1"/>
  <c r="AG9" i="4"/>
  <c r="AJ15" i="4"/>
  <c r="AJ19" i="4"/>
  <c r="AJ11" i="4"/>
  <c r="AJ20" i="4"/>
  <c r="AN4" i="4"/>
  <c r="AM4" i="4"/>
  <c r="AJ8" i="4"/>
  <c r="AN7" i="4"/>
  <c r="AM7" i="4"/>
  <c r="AK4" i="4"/>
  <c r="AK7" i="4"/>
  <c r="AN6" i="4"/>
  <c r="AM6" i="4"/>
  <c r="AK16" i="4"/>
  <c r="AK6" i="4"/>
  <c r="G7" i="1"/>
  <c r="H6" i="1"/>
  <c r="R3" i="2"/>
  <c r="T3" i="2" s="1"/>
  <c r="J8" i="1"/>
  <c r="K8" i="1" s="1"/>
  <c r="AM16" i="4" l="1"/>
  <c r="AN10" i="4"/>
  <c r="AM18" i="4"/>
  <c r="AM14" i="4"/>
  <c r="AN14" i="4"/>
  <c r="AJ13" i="4"/>
  <c r="AN13" i="4" s="1"/>
  <c r="AK14" i="4"/>
  <c r="AK18" i="4"/>
  <c r="AJ12" i="4"/>
  <c r="T10" i="2"/>
  <c r="T5" i="2"/>
  <c r="T6" i="2"/>
  <c r="T18" i="2"/>
  <c r="AJ21" i="4"/>
  <c r="X16" i="2"/>
  <c r="V16" i="2"/>
  <c r="T16" i="2"/>
  <c r="X9" i="2"/>
  <c r="V9" i="2"/>
  <c r="X15" i="2"/>
  <c r="V15" i="2"/>
  <c r="X7" i="2"/>
  <c r="V7" i="2"/>
  <c r="AJ17" i="4"/>
  <c r="AM17" i="4" s="1"/>
  <c r="X21" i="2"/>
  <c r="V21" i="2"/>
  <c r="X4" i="2"/>
  <c r="V4" i="2"/>
  <c r="T9" i="2"/>
  <c r="T15" i="2"/>
  <c r="T7" i="2"/>
  <c r="W8" i="2"/>
  <c r="Z8" i="2" s="1"/>
  <c r="X17" i="2"/>
  <c r="V17" i="2"/>
  <c r="X11" i="2"/>
  <c r="V11" i="2"/>
  <c r="AK10" i="4"/>
  <c r="T21" i="2"/>
  <c r="X10" i="2"/>
  <c r="V10" i="2"/>
  <c r="X13" i="2"/>
  <c r="V13" i="2"/>
  <c r="Z3" i="4"/>
  <c r="X3" i="4"/>
  <c r="X19" i="2"/>
  <c r="V19" i="2"/>
  <c r="X14" i="2"/>
  <c r="V14" i="2"/>
  <c r="T17" i="2"/>
  <c r="X6" i="2"/>
  <c r="V6" i="2"/>
  <c r="X20" i="2"/>
  <c r="V20" i="2"/>
  <c r="T13" i="2"/>
  <c r="T4" i="2"/>
  <c r="T20" i="2"/>
  <c r="T19" i="2"/>
  <c r="X18" i="2"/>
  <c r="V18" i="2"/>
  <c r="W12" i="2"/>
  <c r="Z12" i="2" s="1"/>
  <c r="X5" i="2"/>
  <c r="V5" i="2"/>
  <c r="T14" i="2"/>
  <c r="AK13" i="4"/>
  <c r="AK5" i="4"/>
  <c r="AK20" i="4"/>
  <c r="AK11" i="4"/>
  <c r="AJ9" i="4"/>
  <c r="AM19" i="4"/>
  <c r="AN19" i="4"/>
  <c r="AK19" i="4"/>
  <c r="AN15" i="4"/>
  <c r="AM15" i="4"/>
  <c r="AM20" i="4"/>
  <c r="AN20" i="4"/>
  <c r="AN11" i="4"/>
  <c r="AM11" i="4"/>
  <c r="AK15" i="4"/>
  <c r="AN8" i="4"/>
  <c r="AM8" i="4"/>
  <c r="AM5" i="4"/>
  <c r="AN5" i="4"/>
  <c r="AK8" i="4"/>
  <c r="G8" i="1"/>
  <c r="H7" i="1"/>
  <c r="V3" i="2"/>
  <c r="W3" i="2" s="1"/>
  <c r="Z3" i="2" s="1"/>
  <c r="AB3" i="2" s="1"/>
  <c r="J9" i="1"/>
  <c r="K9" i="1" s="1"/>
  <c r="AM13" i="4" l="1"/>
  <c r="AN17" i="4"/>
  <c r="AK12" i="4"/>
  <c r="AK17" i="4"/>
  <c r="AK21" i="4"/>
  <c r="W20" i="2"/>
  <c r="Z20" i="2" s="1"/>
  <c r="W19" i="2"/>
  <c r="Z19" i="2" s="1"/>
  <c r="W13" i="2"/>
  <c r="Z13" i="2" s="1"/>
  <c r="W17" i="2"/>
  <c r="Z17" i="2" s="1"/>
  <c r="W16" i="2"/>
  <c r="Z16" i="2" s="1"/>
  <c r="AB12" i="2"/>
  <c r="W21" i="2"/>
  <c r="Z21" i="2" s="1"/>
  <c r="W7" i="2"/>
  <c r="Z7" i="2" s="1"/>
  <c r="W9" i="2"/>
  <c r="Z9" i="2" s="1"/>
  <c r="W5" i="2"/>
  <c r="Z5" i="2" s="1"/>
  <c r="W18" i="2"/>
  <c r="Z18" i="2" s="1"/>
  <c r="W6" i="2"/>
  <c r="Z6" i="2" s="1"/>
  <c r="W14" i="2"/>
  <c r="Z14" i="2" s="1"/>
  <c r="Y3" i="4"/>
  <c r="W10" i="2"/>
  <c r="Z10" i="2" s="1"/>
  <c r="W11" i="2"/>
  <c r="Z11" i="2" s="1"/>
  <c r="AB8" i="2"/>
  <c r="W4" i="2"/>
  <c r="Z4" i="2" s="1"/>
  <c r="W15" i="2"/>
  <c r="Z15" i="2" s="1"/>
  <c r="AM21" i="4"/>
  <c r="AN21" i="4"/>
  <c r="AK9" i="4"/>
  <c r="AM9" i="4"/>
  <c r="AN9" i="4"/>
  <c r="O25" i="2"/>
  <c r="G9" i="1"/>
  <c r="H8" i="1"/>
  <c r="J10" i="1"/>
  <c r="K10" i="1" s="1"/>
  <c r="AM12" i="4" l="1"/>
  <c r="AN12" i="4"/>
  <c r="AB10" i="2"/>
  <c r="AB14" i="2"/>
  <c r="AB18" i="2"/>
  <c r="AB4" i="2"/>
  <c r="AB3" i="4"/>
  <c r="AB9" i="2"/>
  <c r="AB21" i="2"/>
  <c r="AB16" i="2"/>
  <c r="AB17" i="2"/>
  <c r="AB19" i="2"/>
  <c r="AD8" i="2"/>
  <c r="AE8" i="2"/>
  <c r="AG8" i="2" s="1"/>
  <c r="AB11" i="2"/>
  <c r="AB6" i="2"/>
  <c r="AB5" i="2"/>
  <c r="AD12" i="2"/>
  <c r="AE12" i="2"/>
  <c r="AG12" i="2" s="1"/>
  <c r="AB15" i="2"/>
  <c r="AB7" i="2"/>
  <c r="AB13" i="2"/>
  <c r="AB20" i="2"/>
  <c r="G10" i="1"/>
  <c r="H9" i="1"/>
  <c r="J11" i="1"/>
  <c r="K11" i="1" s="1"/>
  <c r="AD15" i="2" l="1"/>
  <c r="AE15" i="2"/>
  <c r="AG15" i="2" s="1"/>
  <c r="AD11" i="2"/>
  <c r="AE11" i="2"/>
  <c r="AG11" i="2" s="1"/>
  <c r="AD14" i="2"/>
  <c r="AE14" i="2"/>
  <c r="AG14" i="2" s="1"/>
  <c r="AD5" i="2"/>
  <c r="AE5" i="2"/>
  <c r="AG5" i="2" s="1"/>
  <c r="AD16" i="2"/>
  <c r="AE16" i="2"/>
  <c r="AG16" i="2" s="1"/>
  <c r="AD4" i="2"/>
  <c r="AE4" i="2"/>
  <c r="AG4" i="2" s="1"/>
  <c r="AD20" i="2"/>
  <c r="AE20" i="2"/>
  <c r="AG20" i="2" s="1"/>
  <c r="AD7" i="2"/>
  <c r="AE7" i="2"/>
  <c r="AG7" i="2" s="1"/>
  <c r="AI12" i="2"/>
  <c r="AH12" i="2"/>
  <c r="AD6" i="2"/>
  <c r="AE6" i="2"/>
  <c r="AG6" i="2" s="1"/>
  <c r="AH8" i="2"/>
  <c r="AI8" i="2"/>
  <c r="AD17" i="2"/>
  <c r="AE17" i="2"/>
  <c r="AG17" i="2" s="1"/>
  <c r="AD21" i="2"/>
  <c r="AE21" i="2"/>
  <c r="AG21" i="2" s="1"/>
  <c r="AC3" i="4"/>
  <c r="AD18" i="2"/>
  <c r="AE18" i="2"/>
  <c r="AG18" i="2" s="1"/>
  <c r="AD10" i="2"/>
  <c r="AE10" i="2"/>
  <c r="AG10" i="2" s="1"/>
  <c r="AD13" i="2"/>
  <c r="AE13" i="2"/>
  <c r="AG13" i="2" s="1"/>
  <c r="AD19" i="2"/>
  <c r="AE19" i="2"/>
  <c r="AG19" i="2" s="1"/>
  <c r="AD9" i="2"/>
  <c r="AE9" i="2"/>
  <c r="AG9" i="2" s="1"/>
  <c r="AF12" i="2"/>
  <c r="AF8" i="2"/>
  <c r="Q25" i="4"/>
  <c r="AE3" i="2"/>
  <c r="AD3" i="2"/>
  <c r="G11" i="1"/>
  <c r="H10" i="1"/>
  <c r="J12" i="1"/>
  <c r="K12" i="1" s="1"/>
  <c r="AF19" i="2" l="1"/>
  <c r="AF10" i="2"/>
  <c r="AI4" i="2"/>
  <c r="AH4" i="2"/>
  <c r="AH18" i="2"/>
  <c r="AI18" i="2"/>
  <c r="AF17" i="2"/>
  <c r="AF6" i="2"/>
  <c r="AF7" i="2"/>
  <c r="AF4" i="2"/>
  <c r="AF5" i="2"/>
  <c r="AF11" i="2"/>
  <c r="AI17" i="2"/>
  <c r="AH17" i="2"/>
  <c r="AI6" i="2"/>
  <c r="AH6" i="2"/>
  <c r="AH5" i="2"/>
  <c r="AI5" i="2"/>
  <c r="AI13" i="2"/>
  <c r="AH13" i="2"/>
  <c r="AF13" i="2"/>
  <c r="AF18" i="2"/>
  <c r="AH21" i="2"/>
  <c r="AI21" i="2"/>
  <c r="AH20" i="2"/>
  <c r="AI20" i="2"/>
  <c r="AI16" i="2"/>
  <c r="AH16" i="2"/>
  <c r="AH14" i="2"/>
  <c r="AI14" i="2"/>
  <c r="AI15" i="2"/>
  <c r="AH15" i="2"/>
  <c r="AI7" i="2"/>
  <c r="AH7" i="2"/>
  <c r="AH11" i="2"/>
  <c r="AI11" i="2"/>
  <c r="AI9" i="2"/>
  <c r="AH9" i="2"/>
  <c r="AF9" i="2"/>
  <c r="AH19" i="2"/>
  <c r="AI19" i="2"/>
  <c r="AH10" i="2"/>
  <c r="AI10" i="2"/>
  <c r="AF21" i="2"/>
  <c r="AF20" i="2"/>
  <c r="AF16" i="2"/>
  <c r="AF14" i="2"/>
  <c r="AF15" i="2"/>
  <c r="G12" i="1"/>
  <c r="H11" i="1"/>
  <c r="AF3" i="2"/>
  <c r="J13" i="1"/>
  <c r="K13" i="1" s="1"/>
  <c r="G13" i="1" l="1"/>
  <c r="H12" i="1"/>
  <c r="J14" i="1"/>
  <c r="K14" i="1" s="1"/>
  <c r="G14" i="1" l="1"/>
  <c r="H13" i="1"/>
  <c r="J15" i="1"/>
  <c r="K15" i="1" s="1"/>
  <c r="G15" i="1" l="1"/>
  <c r="H14" i="1"/>
  <c r="J16" i="1"/>
  <c r="K16" i="1" s="1"/>
  <c r="G16" i="1" l="1"/>
  <c r="H15" i="1"/>
  <c r="J17" i="1"/>
  <c r="K17" i="1" s="1"/>
  <c r="G17" i="1" l="1"/>
  <c r="H16" i="1"/>
  <c r="J18" i="1"/>
  <c r="K18" i="1" s="1"/>
  <c r="H17" i="1" l="1"/>
  <c r="G18" i="1"/>
  <c r="J19" i="1"/>
  <c r="K19" i="1" s="1"/>
  <c r="G19" i="1" l="1"/>
  <c r="H18" i="1"/>
  <c r="J20" i="1"/>
  <c r="K20" i="1" s="1"/>
  <c r="G20" i="1" l="1"/>
  <c r="H19" i="1"/>
  <c r="J21" i="1"/>
  <c r="K21" i="1" s="1"/>
  <c r="G21" i="1" l="1"/>
  <c r="H21" i="1" s="1"/>
  <c r="H20" i="1"/>
</calcChain>
</file>

<file path=xl/sharedStrings.xml><?xml version="1.0" encoding="utf-8"?>
<sst xmlns="http://schemas.openxmlformats.org/spreadsheetml/2006/main" count="254" uniqueCount="133">
  <si>
    <t>Sample (g)</t>
  </si>
  <si>
    <t>Sample = CaCO3</t>
  </si>
  <si>
    <t>CaCO3</t>
  </si>
  <si>
    <t>g/m</t>
  </si>
  <si>
    <t>Ca in CaCO3</t>
  </si>
  <si>
    <t>wt%</t>
  </si>
  <si>
    <t>ppm</t>
  </si>
  <si>
    <t>Cal (M)</t>
  </si>
  <si>
    <t>Req'd M Acid for 1x diss'n</t>
  </si>
  <si>
    <t>3M HNO3</t>
  </si>
  <si>
    <t>g/mL</t>
  </si>
  <si>
    <t>Strong acid</t>
  </si>
  <si>
    <t>2% HNO3</t>
  </si>
  <si>
    <t>0.345 M HOAc</t>
  </si>
  <si>
    <t>10 mg</t>
  </si>
  <si>
    <t>20 mg</t>
  </si>
  <si>
    <t>3M HNO3 (mL)</t>
  </si>
  <si>
    <t>3M HNO3 (M)</t>
  </si>
  <si>
    <t>0.345 HOAc (mL)</t>
  </si>
  <si>
    <t>0.345 HOAc (M)</t>
  </si>
  <si>
    <t>Weak acid</t>
  </si>
  <si>
    <t>Sample ID</t>
  </si>
  <si>
    <t>Vial* (g)</t>
  </si>
  <si>
    <t>*vial w/o cap wt</t>
  </si>
  <si>
    <t>Smpl (g)</t>
  </si>
  <si>
    <t>Example of 10 mg sample with 20% insol resid (IR)</t>
  </si>
  <si>
    <t>3N HNO3 (mL)</t>
  </si>
  <si>
    <t>3N HNO3 (g)</t>
  </si>
  <si>
    <t>Vial + IR (g)</t>
  </si>
  <si>
    <t>Sol Sample (g)</t>
  </si>
  <si>
    <t>DF1(wt)</t>
  </si>
  <si>
    <t>Est. DF1 Ca (ppm)</t>
  </si>
  <si>
    <t>Req'd Dil for 200 ppm Ca</t>
  </si>
  <si>
    <t>Tot vol (mL)</t>
  </si>
  <si>
    <t>Initial Dissolution (DF1)</t>
  </si>
  <si>
    <t>Trace element dilution (DF2)</t>
  </si>
  <si>
    <t>DF1 (mL)</t>
  </si>
  <si>
    <t>DF1 (g)</t>
  </si>
  <si>
    <t>2% HNO3 (mL)</t>
  </si>
  <si>
    <t>2% HNO3 (g)</t>
  </si>
  <si>
    <t>Tot (g)</t>
  </si>
  <si>
    <t>Tot (mL)</t>
  </si>
  <si>
    <t>DF dens (g/mL)</t>
  </si>
  <si>
    <t>Actual DF2 dil factor (vol)</t>
  </si>
  <si>
    <t>Est DF2 Ca (ppm)</t>
  </si>
  <si>
    <t>Req'd Dil for 10 ppm Ca</t>
  </si>
  <si>
    <t>Major element dilution (DF3)</t>
  </si>
  <si>
    <t>Net DF for DF2</t>
  </si>
  <si>
    <t>DF2 (mL)</t>
  </si>
  <si>
    <t>DF2 (g)</t>
  </si>
  <si>
    <t>Est DF3 Ca (ppm)</t>
  </si>
  <si>
    <t>Net DF for DF3</t>
  </si>
  <si>
    <t>1S</t>
  </si>
  <si>
    <t>2S</t>
  </si>
  <si>
    <t>3S</t>
  </si>
  <si>
    <t>4S</t>
  </si>
  <si>
    <t>5S</t>
  </si>
  <si>
    <t>6S</t>
  </si>
  <si>
    <t>7S</t>
  </si>
  <si>
    <t>8S</t>
  </si>
  <si>
    <t>9S</t>
  </si>
  <si>
    <t>10S</t>
  </si>
  <si>
    <t>11S</t>
  </si>
  <si>
    <t>12S</t>
  </si>
  <si>
    <t>13S</t>
  </si>
  <si>
    <t>14S</t>
  </si>
  <si>
    <t>15S</t>
  </si>
  <si>
    <t>16S</t>
  </si>
  <si>
    <t>17S</t>
  </si>
  <si>
    <t>18S</t>
  </si>
  <si>
    <t>19S</t>
  </si>
  <si>
    <t>BS</t>
  </si>
  <si>
    <t>transferred smpl (g)</t>
  </si>
  <si>
    <t>1W</t>
  </si>
  <si>
    <t>2W</t>
  </si>
  <si>
    <t>3W</t>
  </si>
  <si>
    <t>4W</t>
  </si>
  <si>
    <t>5W</t>
  </si>
  <si>
    <t>6W</t>
  </si>
  <si>
    <t>7W</t>
  </si>
  <si>
    <t>8W</t>
  </si>
  <si>
    <t>9W</t>
  </si>
  <si>
    <t>10W</t>
  </si>
  <si>
    <t>11W</t>
  </si>
  <si>
    <t>12W</t>
  </si>
  <si>
    <t>13W</t>
  </si>
  <si>
    <t>14W</t>
  </si>
  <si>
    <t>15W</t>
  </si>
  <si>
    <t>16W</t>
  </si>
  <si>
    <t>17W</t>
  </si>
  <si>
    <t>18W</t>
  </si>
  <si>
    <t>19W</t>
  </si>
  <si>
    <t>BW</t>
  </si>
  <si>
    <t>.345N HOAc  (mL)</t>
  </si>
  <si>
    <t>.345N HOAc  (g)</t>
  </si>
  <si>
    <t>100% HOAc</t>
  </si>
  <si>
    <t>M</t>
  </si>
  <si>
    <t>2% HOAc</t>
  </si>
  <si>
    <t>Vials started rotation at 2:18PM. Acid was added between ~1PM-2:05PM</t>
  </si>
  <si>
    <t>DF2 dens (g/mL)</t>
  </si>
  <si>
    <t>na</t>
  </si>
  <si>
    <t>sol/tot</t>
  </si>
  <si>
    <t xml:space="preserve">na </t>
  </si>
  <si>
    <t>3x</t>
  </si>
  <si>
    <t>2x</t>
  </si>
  <si>
    <t>pipette additions</t>
  </si>
  <si>
    <t>8w</t>
  </si>
  <si>
    <t>1st addition (g)</t>
  </si>
  <si>
    <t>2nd addition (g)</t>
  </si>
  <si>
    <t>third addition</t>
  </si>
  <si>
    <t>first two additions</t>
  </si>
  <si>
    <t>Total DF2 (g)</t>
  </si>
  <si>
    <t>Sample Name</t>
  </si>
  <si>
    <t>M2-a</t>
  </si>
  <si>
    <t>M1-a</t>
  </si>
  <si>
    <t>M3-a</t>
  </si>
  <si>
    <t>AH WTH 1.2d-a</t>
  </si>
  <si>
    <t>S2-a</t>
  </si>
  <si>
    <t>M4-a</t>
  </si>
  <si>
    <t>S5-a</t>
  </si>
  <si>
    <t>S5-b</t>
  </si>
  <si>
    <t>S5-c</t>
  </si>
  <si>
    <t>TSMNFR 2.0m-a</t>
  </si>
  <si>
    <t>TSMNFR 4.5m-a</t>
  </si>
  <si>
    <t>TSMNFR 4.5m-b</t>
  </si>
  <si>
    <t>TSMNFR 4.5m-c</t>
  </si>
  <si>
    <t>T3-15-18-a</t>
  </si>
  <si>
    <t>T3-15-12-a</t>
  </si>
  <si>
    <t>T3-15-05b-a</t>
  </si>
  <si>
    <t xml:space="preserve">ND SNR WEM 2.1b-a </t>
  </si>
  <si>
    <t>ND SNR WEM 2.1b-b</t>
  </si>
  <si>
    <t>ND SNR WEM 2.1b-c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</si>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</sst>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"/>
    <numFmt numFmtId="166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2" borderId="0" xfId="0" applyFill="1"/>
    <xf numFmtId="165" fontId="0" fillId="2" borderId="0" xfId="0" applyNumberFormat="1" applyFill="1"/>
    <xf numFmtId="0" fontId="0" fillId="3" borderId="0" xfId="0" applyFill="1"/>
    <xf numFmtId="165" fontId="0" fillId="3" borderId="0" xfId="0" applyNumberFormat="1" applyFill="1"/>
    <xf numFmtId="0" fontId="0" fillId="0" borderId="0" xfId="0" applyAlignment="1">
      <alignment horizontal="center" wrapText="1"/>
    </xf>
    <xf numFmtId="0" fontId="0" fillId="0" borderId="0" xfId="0" applyFill="1"/>
    <xf numFmtId="165" fontId="0" fillId="0" borderId="0" xfId="0" applyNumberFormat="1" applyAlignment="1">
      <alignment horizontal="center" wrapText="1"/>
    </xf>
    <xf numFmtId="165" fontId="0" fillId="0" borderId="0" xfId="0" applyNumberFormat="1" applyFill="1"/>
    <xf numFmtId="164" fontId="0" fillId="0" borderId="1" xfId="0" applyNumberFormat="1" applyBorder="1"/>
    <xf numFmtId="0" fontId="1" fillId="0" borderId="1" xfId="0" applyFont="1" applyBorder="1"/>
    <xf numFmtId="0" fontId="0" fillId="4" borderId="0" xfId="0" applyFill="1"/>
    <xf numFmtId="165" fontId="1" fillId="0" borderId="1" xfId="0" applyNumberFormat="1" applyFont="1" applyBorder="1"/>
    <xf numFmtId="165" fontId="1" fillId="0" borderId="0" xfId="0" applyNumberFormat="1" applyFont="1" applyBorder="1"/>
    <xf numFmtId="166" fontId="0" fillId="0" borderId="0" xfId="0" applyNumberFormat="1" applyAlignment="1">
      <alignment horizontal="center"/>
    </xf>
    <xf numFmtId="2" fontId="0" fillId="0" borderId="0" xfId="0" applyNumberFormat="1"/>
    <xf numFmtId="166" fontId="0" fillId="2" borderId="0" xfId="0" applyNumberFormat="1" applyFill="1"/>
    <xf numFmtId="166" fontId="0" fillId="0" borderId="0" xfId="0" applyNumberFormat="1" applyAlignment="1">
      <alignment horizontal="center" wrapText="1"/>
    </xf>
    <xf numFmtId="166" fontId="0" fillId="0" borderId="0" xfId="0" applyNumberFormat="1"/>
    <xf numFmtId="164" fontId="0" fillId="5" borderId="0" xfId="0" applyNumberFormat="1" applyFill="1"/>
    <xf numFmtId="0" fontId="0" fillId="5" borderId="0" xfId="0" applyFill="1"/>
    <xf numFmtId="164" fontId="0" fillId="6" borderId="0" xfId="0" applyNumberFormat="1" applyFill="1"/>
    <xf numFmtId="0" fontId="0" fillId="6" borderId="0" xfId="0" applyFill="1"/>
    <xf numFmtId="166" fontId="0" fillId="3" borderId="0" xfId="0" applyNumberForma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164" fontId="2" fillId="0" borderId="10" xfId="0" applyNumberFormat="1" applyFont="1" applyFill="1" applyBorder="1" applyAlignment="1">
      <alignment horizontal="left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C45" sqref="C45"/>
    </sheetView>
  </sheetViews>
  <sheetFormatPr defaultColWidth="8.85546875" defaultRowHeight="15" x14ac:dyDescent="0.25"/>
  <cols>
    <col min="1" max="1" width="15.28515625" bestFit="1" customWidth="1"/>
    <col min="2" max="3" width="12" bestFit="1" customWidth="1"/>
    <col min="11" max="11" width="10" style="2" bestFit="1" customWidth="1"/>
  </cols>
  <sheetData>
    <row r="1" spans="1:11" s="7" customFormat="1" ht="45" x14ac:dyDescent="0.25">
      <c r="B1" s="7" t="s">
        <v>0</v>
      </c>
      <c r="C1" s="7" t="s">
        <v>7</v>
      </c>
      <c r="D1" s="7" t="s">
        <v>8</v>
      </c>
      <c r="G1" s="7" t="s">
        <v>16</v>
      </c>
      <c r="H1" s="7" t="s">
        <v>17</v>
      </c>
      <c r="J1" s="7" t="s">
        <v>18</v>
      </c>
      <c r="K1" s="9" t="s">
        <v>19</v>
      </c>
    </row>
    <row r="2" spans="1:11" x14ac:dyDescent="0.25">
      <c r="B2" s="1">
        <v>1E-3</v>
      </c>
      <c r="C2" s="2">
        <f>B2/$B$36</f>
        <v>9.9913075624206947E-6</v>
      </c>
      <c r="D2" s="2">
        <f>2*C2</f>
        <v>1.9982615124841389E-5</v>
      </c>
      <c r="G2" s="3">
        <v>0.1</v>
      </c>
      <c r="H2" s="3">
        <f>G2*3/1000</f>
        <v>3.0000000000000003E-4</v>
      </c>
      <c r="J2" s="8">
        <v>0.1</v>
      </c>
      <c r="K2" s="10">
        <f>J2*0.345/1000</f>
        <v>3.4499999999999998E-5</v>
      </c>
    </row>
    <row r="3" spans="1:11" x14ac:dyDescent="0.25">
      <c r="B3" s="1">
        <f>0.001+B2</f>
        <v>2E-3</v>
      </c>
      <c r="C3" s="2">
        <f t="shared" ref="C3:C31" si="0">B3/$B$36</f>
        <v>1.9982615124841389E-5</v>
      </c>
      <c r="D3" s="2">
        <f t="shared" ref="D3:D31" si="1">2*C3</f>
        <v>3.9965230249682779E-5</v>
      </c>
      <c r="G3" s="5">
        <f>0.1+G2</f>
        <v>0.2</v>
      </c>
      <c r="H3" s="5">
        <f t="shared" ref="H3:H21" si="2">G3*3/1000</f>
        <v>6.0000000000000006E-4</v>
      </c>
      <c r="J3" s="8">
        <f>0.1+J2</f>
        <v>0.2</v>
      </c>
      <c r="K3" s="10">
        <f t="shared" ref="K3:K21" si="3">J3*0.345/1000</f>
        <v>6.8999999999999997E-5</v>
      </c>
    </row>
    <row r="4" spans="1:11" x14ac:dyDescent="0.25">
      <c r="B4" s="1">
        <f t="shared" ref="B4:B30" si="4">0.001+B3</f>
        <v>3.0000000000000001E-3</v>
      </c>
      <c r="C4" s="2">
        <f t="shared" si="0"/>
        <v>2.9973922687262081E-5</v>
      </c>
      <c r="D4" s="2">
        <f t="shared" si="1"/>
        <v>5.9947845374524161E-5</v>
      </c>
      <c r="G4">
        <f t="shared" ref="G4:G21" si="5">0.1+G3</f>
        <v>0.30000000000000004</v>
      </c>
      <c r="H4">
        <f t="shared" si="2"/>
        <v>9.0000000000000008E-4</v>
      </c>
      <c r="J4" s="8">
        <f t="shared" ref="J4:J17" si="6">0.1+J3</f>
        <v>0.30000000000000004</v>
      </c>
      <c r="K4" s="10">
        <f t="shared" si="3"/>
        <v>1.0350000000000001E-4</v>
      </c>
    </row>
    <row r="5" spans="1:11" x14ac:dyDescent="0.25">
      <c r="B5" s="1">
        <f t="shared" si="4"/>
        <v>4.0000000000000001E-3</v>
      </c>
      <c r="C5" s="2">
        <f t="shared" si="0"/>
        <v>3.9965230249682779E-5</v>
      </c>
      <c r="D5" s="2">
        <f t="shared" si="1"/>
        <v>7.9930460499365557E-5</v>
      </c>
      <c r="G5">
        <f t="shared" si="5"/>
        <v>0.4</v>
      </c>
      <c r="H5">
        <f t="shared" si="2"/>
        <v>1.2000000000000001E-3</v>
      </c>
      <c r="J5" s="8">
        <f t="shared" si="6"/>
        <v>0.4</v>
      </c>
      <c r="K5" s="10">
        <f t="shared" si="3"/>
        <v>1.3799999999999999E-4</v>
      </c>
    </row>
    <row r="6" spans="1:11" x14ac:dyDescent="0.25">
      <c r="B6" s="1">
        <f t="shared" si="4"/>
        <v>5.0000000000000001E-3</v>
      </c>
      <c r="C6" s="2">
        <f t="shared" si="0"/>
        <v>4.9956537812103466E-5</v>
      </c>
      <c r="D6" s="2">
        <f t="shared" si="1"/>
        <v>9.9913075624206933E-5</v>
      </c>
      <c r="G6">
        <f t="shared" si="5"/>
        <v>0.5</v>
      </c>
      <c r="H6">
        <f t="shared" si="2"/>
        <v>1.5E-3</v>
      </c>
      <c r="J6" s="8">
        <f t="shared" si="6"/>
        <v>0.5</v>
      </c>
      <c r="K6" s="10">
        <f t="shared" si="3"/>
        <v>1.7249999999999999E-4</v>
      </c>
    </row>
    <row r="7" spans="1:11" x14ac:dyDescent="0.25">
      <c r="B7" s="1">
        <f t="shared" si="4"/>
        <v>6.0000000000000001E-3</v>
      </c>
      <c r="C7" s="2">
        <f t="shared" si="0"/>
        <v>5.9947845374524161E-5</v>
      </c>
      <c r="D7" s="2">
        <f t="shared" si="1"/>
        <v>1.1989569074904832E-4</v>
      </c>
      <c r="G7">
        <f t="shared" si="5"/>
        <v>0.6</v>
      </c>
      <c r="H7">
        <f t="shared" si="2"/>
        <v>1.7999999999999997E-3</v>
      </c>
      <c r="J7" s="3">
        <f t="shared" si="6"/>
        <v>0.6</v>
      </c>
      <c r="K7" s="10">
        <f t="shared" si="3"/>
        <v>2.0699999999999999E-4</v>
      </c>
    </row>
    <row r="8" spans="1:11" x14ac:dyDescent="0.25">
      <c r="B8" s="1">
        <f t="shared" si="4"/>
        <v>7.0000000000000001E-3</v>
      </c>
      <c r="C8" s="2">
        <f t="shared" si="0"/>
        <v>6.9939152936944856E-5</v>
      </c>
      <c r="D8" s="2">
        <f t="shared" si="1"/>
        <v>1.3987830587388971E-4</v>
      </c>
      <c r="G8">
        <f t="shared" si="5"/>
        <v>0.7</v>
      </c>
      <c r="H8">
        <f t="shared" si="2"/>
        <v>2.0999999999999994E-3</v>
      </c>
      <c r="J8" s="8">
        <f t="shared" si="6"/>
        <v>0.7</v>
      </c>
      <c r="K8" s="10">
        <f t="shared" si="3"/>
        <v>2.4149999999999996E-4</v>
      </c>
    </row>
    <row r="9" spans="1:11" x14ac:dyDescent="0.25">
      <c r="B9" s="1">
        <f t="shared" si="4"/>
        <v>8.0000000000000002E-3</v>
      </c>
      <c r="C9" s="2">
        <f t="shared" si="0"/>
        <v>7.9930460499365557E-5</v>
      </c>
      <c r="D9" s="2">
        <f t="shared" si="1"/>
        <v>1.5986092099873111E-4</v>
      </c>
      <c r="G9">
        <f t="shared" si="5"/>
        <v>0.79999999999999993</v>
      </c>
      <c r="H9">
        <f t="shared" si="2"/>
        <v>2.3999999999999998E-3</v>
      </c>
      <c r="J9" s="8">
        <f t="shared" si="6"/>
        <v>0.79999999999999993</v>
      </c>
      <c r="K9" s="10">
        <f t="shared" si="3"/>
        <v>2.7599999999999999E-4</v>
      </c>
    </row>
    <row r="10" spans="1:11" ht="15.75" thickBot="1" x14ac:dyDescent="0.3">
      <c r="B10" s="1">
        <f t="shared" si="4"/>
        <v>9.0000000000000011E-3</v>
      </c>
      <c r="C10" s="2">
        <f t="shared" si="0"/>
        <v>8.9921768061786259E-5</v>
      </c>
      <c r="D10" s="2">
        <f t="shared" si="1"/>
        <v>1.7984353612357252E-4</v>
      </c>
      <c r="G10">
        <f t="shared" si="5"/>
        <v>0.89999999999999991</v>
      </c>
      <c r="H10">
        <f t="shared" si="2"/>
        <v>2.6999999999999997E-3</v>
      </c>
      <c r="J10" s="8">
        <f t="shared" si="6"/>
        <v>0.89999999999999991</v>
      </c>
      <c r="K10" s="10">
        <f t="shared" si="3"/>
        <v>3.1049999999999996E-4</v>
      </c>
    </row>
    <row r="11" spans="1:11" ht="15.75" thickBot="1" x14ac:dyDescent="0.3">
      <c r="A11" s="3" t="s">
        <v>14</v>
      </c>
      <c r="B11" s="11">
        <f t="shared" si="4"/>
        <v>1.0000000000000002E-2</v>
      </c>
      <c r="C11" s="2">
        <f t="shared" si="0"/>
        <v>9.991307562420696E-5</v>
      </c>
      <c r="D11" s="4">
        <f t="shared" si="1"/>
        <v>1.9982615124841392E-4</v>
      </c>
      <c r="G11">
        <f t="shared" si="5"/>
        <v>0.99999999999999989</v>
      </c>
      <c r="H11">
        <f t="shared" si="2"/>
        <v>2.9999999999999996E-3</v>
      </c>
      <c r="J11" s="8">
        <f t="shared" si="6"/>
        <v>0.99999999999999989</v>
      </c>
      <c r="K11" s="10">
        <f t="shared" si="3"/>
        <v>3.4499999999999993E-4</v>
      </c>
    </row>
    <row r="12" spans="1:11" x14ac:dyDescent="0.25">
      <c r="B12" s="1">
        <f t="shared" si="4"/>
        <v>1.1000000000000003E-2</v>
      </c>
      <c r="C12" s="2">
        <f t="shared" si="0"/>
        <v>1.0990438318662766E-4</v>
      </c>
      <c r="D12" s="2">
        <f t="shared" si="1"/>
        <v>2.1980876637325532E-4</v>
      </c>
      <c r="G12">
        <f t="shared" si="5"/>
        <v>1.0999999999999999</v>
      </c>
      <c r="H12">
        <f t="shared" si="2"/>
        <v>3.3E-3</v>
      </c>
      <c r="J12" s="8">
        <f t="shared" si="6"/>
        <v>1.0999999999999999</v>
      </c>
      <c r="K12" s="10">
        <f t="shared" si="3"/>
        <v>3.7949999999999995E-4</v>
      </c>
    </row>
    <row r="13" spans="1:11" x14ac:dyDescent="0.25">
      <c r="B13" s="1">
        <f t="shared" si="4"/>
        <v>1.2000000000000004E-2</v>
      </c>
      <c r="C13" s="2">
        <f t="shared" si="0"/>
        <v>1.1989569074904836E-4</v>
      </c>
      <c r="D13" s="2">
        <f t="shared" si="1"/>
        <v>2.3979138149809673E-4</v>
      </c>
      <c r="G13">
        <f t="shared" si="5"/>
        <v>1.2</v>
      </c>
      <c r="H13">
        <f t="shared" si="2"/>
        <v>3.5999999999999995E-3</v>
      </c>
      <c r="J13" s="5">
        <f t="shared" si="6"/>
        <v>1.2</v>
      </c>
      <c r="K13" s="10">
        <f t="shared" si="3"/>
        <v>4.1399999999999998E-4</v>
      </c>
    </row>
    <row r="14" spans="1:11" x14ac:dyDescent="0.25">
      <c r="B14" s="1">
        <f t="shared" si="4"/>
        <v>1.3000000000000005E-2</v>
      </c>
      <c r="C14" s="2">
        <f t="shared" si="0"/>
        <v>1.2988699831146906E-4</v>
      </c>
      <c r="D14" s="2">
        <f t="shared" si="1"/>
        <v>2.5977399662293813E-4</v>
      </c>
      <c r="G14">
        <f t="shared" si="5"/>
        <v>1.3</v>
      </c>
      <c r="H14">
        <f t="shared" si="2"/>
        <v>3.9000000000000003E-3</v>
      </c>
      <c r="J14" s="8">
        <f t="shared" si="6"/>
        <v>1.3</v>
      </c>
      <c r="K14" s="10">
        <f t="shared" si="3"/>
        <v>4.4849999999999995E-4</v>
      </c>
    </row>
    <row r="15" spans="1:11" x14ac:dyDescent="0.25">
      <c r="B15" s="1">
        <f t="shared" si="4"/>
        <v>1.4000000000000005E-2</v>
      </c>
      <c r="C15" s="2">
        <f t="shared" si="0"/>
        <v>1.3987830587388977E-4</v>
      </c>
      <c r="D15" s="2">
        <f t="shared" si="1"/>
        <v>2.7975661174777953E-4</v>
      </c>
      <c r="G15">
        <f t="shared" si="5"/>
        <v>1.4000000000000001</v>
      </c>
      <c r="H15">
        <f t="shared" si="2"/>
        <v>4.2000000000000006E-3</v>
      </c>
      <c r="J15" s="8">
        <f t="shared" si="6"/>
        <v>1.4000000000000001</v>
      </c>
      <c r="K15" s="10">
        <f t="shared" si="3"/>
        <v>4.8299999999999998E-4</v>
      </c>
    </row>
    <row r="16" spans="1:11" x14ac:dyDescent="0.25">
      <c r="B16" s="1">
        <f t="shared" si="4"/>
        <v>1.5000000000000006E-2</v>
      </c>
      <c r="C16" s="2">
        <f t="shared" si="0"/>
        <v>1.4986961343631047E-4</v>
      </c>
      <c r="D16" s="2">
        <f t="shared" si="1"/>
        <v>2.9973922687262093E-4</v>
      </c>
      <c r="G16">
        <f t="shared" si="5"/>
        <v>1.5000000000000002</v>
      </c>
      <c r="H16">
        <f t="shared" si="2"/>
        <v>4.5000000000000005E-3</v>
      </c>
      <c r="J16" s="8">
        <f t="shared" si="6"/>
        <v>1.5000000000000002</v>
      </c>
      <c r="K16" s="10">
        <f t="shared" si="3"/>
        <v>5.1750000000000006E-4</v>
      </c>
    </row>
    <row r="17" spans="1:11" x14ac:dyDescent="0.25">
      <c r="B17" s="1">
        <f t="shared" si="4"/>
        <v>1.6000000000000007E-2</v>
      </c>
      <c r="C17" s="2">
        <f t="shared" si="0"/>
        <v>1.5986092099873117E-4</v>
      </c>
      <c r="D17" s="2">
        <f t="shared" si="1"/>
        <v>3.1972184199746234E-4</v>
      </c>
      <c r="G17">
        <f t="shared" si="5"/>
        <v>1.6000000000000003</v>
      </c>
      <c r="H17">
        <f t="shared" si="2"/>
        <v>4.8000000000000004E-3</v>
      </c>
      <c r="J17" s="8">
        <f t="shared" si="6"/>
        <v>1.6000000000000003</v>
      </c>
      <c r="K17" s="10">
        <f t="shared" si="3"/>
        <v>5.5200000000000008E-4</v>
      </c>
    </row>
    <row r="18" spans="1:11" x14ac:dyDescent="0.25">
      <c r="B18" s="1">
        <f t="shared" si="4"/>
        <v>1.7000000000000008E-2</v>
      </c>
      <c r="C18" s="2">
        <f t="shared" si="0"/>
        <v>1.6985222856115187E-4</v>
      </c>
      <c r="D18" s="2">
        <f t="shared" si="1"/>
        <v>3.3970445712230374E-4</v>
      </c>
      <c r="G18">
        <f>0.1+G17</f>
        <v>1.7000000000000004</v>
      </c>
      <c r="H18">
        <f t="shared" si="2"/>
        <v>5.1000000000000012E-3</v>
      </c>
      <c r="J18" s="8">
        <f>0.1+J17</f>
        <v>1.7000000000000004</v>
      </c>
      <c r="K18" s="10">
        <f t="shared" si="3"/>
        <v>5.8650000000000011E-4</v>
      </c>
    </row>
    <row r="19" spans="1:11" x14ac:dyDescent="0.25">
      <c r="B19" s="1">
        <f t="shared" si="4"/>
        <v>1.8000000000000009E-2</v>
      </c>
      <c r="C19" s="2">
        <f t="shared" si="0"/>
        <v>1.7984353612357257E-4</v>
      </c>
      <c r="D19" s="2">
        <f t="shared" si="1"/>
        <v>3.5968707224714514E-4</v>
      </c>
      <c r="G19">
        <f t="shared" si="5"/>
        <v>1.8000000000000005</v>
      </c>
      <c r="H19">
        <f t="shared" si="2"/>
        <v>5.4000000000000012E-3</v>
      </c>
      <c r="J19" s="8">
        <f t="shared" ref="J19:J21" si="7">0.1+J18</f>
        <v>1.8000000000000005</v>
      </c>
      <c r="K19" s="10">
        <f t="shared" si="3"/>
        <v>6.2100000000000013E-4</v>
      </c>
    </row>
    <row r="20" spans="1:11" x14ac:dyDescent="0.25">
      <c r="B20" s="1">
        <f t="shared" si="4"/>
        <v>1.900000000000001E-2</v>
      </c>
      <c r="C20" s="2">
        <f t="shared" si="0"/>
        <v>1.8983484368599327E-4</v>
      </c>
      <c r="D20" s="2">
        <f t="shared" si="1"/>
        <v>3.7966968737198655E-4</v>
      </c>
      <c r="G20">
        <f t="shared" si="5"/>
        <v>1.9000000000000006</v>
      </c>
      <c r="H20">
        <f t="shared" si="2"/>
        <v>5.7000000000000019E-3</v>
      </c>
      <c r="J20" s="8">
        <f t="shared" si="7"/>
        <v>1.9000000000000006</v>
      </c>
      <c r="K20" s="10">
        <f t="shared" si="3"/>
        <v>6.5550000000000016E-4</v>
      </c>
    </row>
    <row r="21" spans="1:11" x14ac:dyDescent="0.25">
      <c r="A21" s="5" t="s">
        <v>15</v>
      </c>
      <c r="B21" s="1">
        <f t="shared" si="4"/>
        <v>2.0000000000000011E-2</v>
      </c>
      <c r="C21" s="2">
        <f t="shared" si="0"/>
        <v>1.9982615124841397E-4</v>
      </c>
      <c r="D21" s="6">
        <f t="shared" si="1"/>
        <v>3.9965230249682795E-4</v>
      </c>
      <c r="G21">
        <f t="shared" si="5"/>
        <v>2.0000000000000004</v>
      </c>
      <c r="H21">
        <f t="shared" si="2"/>
        <v>6.0000000000000019E-3</v>
      </c>
      <c r="J21" s="8">
        <f t="shared" si="7"/>
        <v>2.0000000000000004</v>
      </c>
      <c r="K21" s="10">
        <f t="shared" si="3"/>
        <v>6.9000000000000008E-4</v>
      </c>
    </row>
    <row r="22" spans="1:11" x14ac:dyDescent="0.25">
      <c r="B22" s="1">
        <f t="shared" si="4"/>
        <v>2.1000000000000012E-2</v>
      </c>
      <c r="C22" s="2">
        <f t="shared" si="0"/>
        <v>2.0981745881083468E-4</v>
      </c>
      <c r="D22" s="2">
        <f t="shared" si="1"/>
        <v>4.1963491762166935E-4</v>
      </c>
    </row>
    <row r="23" spans="1:11" x14ac:dyDescent="0.25">
      <c r="B23" s="1">
        <f t="shared" si="4"/>
        <v>2.2000000000000013E-2</v>
      </c>
      <c r="C23" s="2">
        <f t="shared" si="0"/>
        <v>2.1980876637325538E-4</v>
      </c>
      <c r="D23" s="2">
        <f t="shared" si="1"/>
        <v>4.3961753274651075E-4</v>
      </c>
    </row>
    <row r="24" spans="1:11" x14ac:dyDescent="0.25">
      <c r="B24" s="1">
        <f t="shared" si="4"/>
        <v>2.3000000000000013E-2</v>
      </c>
      <c r="C24" s="2">
        <f t="shared" si="0"/>
        <v>2.2980007393567608E-4</v>
      </c>
      <c r="D24" s="2">
        <f t="shared" si="1"/>
        <v>4.5960014787135216E-4</v>
      </c>
    </row>
    <row r="25" spans="1:11" x14ac:dyDescent="0.25">
      <c r="B25" s="1">
        <f t="shared" si="4"/>
        <v>2.4000000000000014E-2</v>
      </c>
      <c r="C25" s="2">
        <f t="shared" si="0"/>
        <v>2.3979138149809678E-4</v>
      </c>
      <c r="D25" s="2">
        <f t="shared" si="1"/>
        <v>4.7958276299619356E-4</v>
      </c>
    </row>
    <row r="26" spans="1:11" x14ac:dyDescent="0.25">
      <c r="B26" s="1">
        <f t="shared" si="4"/>
        <v>2.5000000000000015E-2</v>
      </c>
      <c r="C26" s="2">
        <f t="shared" si="0"/>
        <v>2.4978268906051751E-4</v>
      </c>
      <c r="D26" s="2">
        <f t="shared" si="1"/>
        <v>4.9956537812103502E-4</v>
      </c>
    </row>
    <row r="27" spans="1:11" x14ac:dyDescent="0.25">
      <c r="B27" s="1">
        <f t="shared" si="4"/>
        <v>2.6000000000000016E-2</v>
      </c>
      <c r="C27" s="2">
        <f t="shared" si="0"/>
        <v>2.5977399662293818E-4</v>
      </c>
      <c r="D27" s="2">
        <f t="shared" si="1"/>
        <v>5.1954799324587637E-4</v>
      </c>
    </row>
    <row r="28" spans="1:11" x14ac:dyDescent="0.25">
      <c r="B28" s="1">
        <f>0.001+B27</f>
        <v>2.7000000000000017E-2</v>
      </c>
      <c r="C28" s="2">
        <f t="shared" si="0"/>
        <v>2.6976530418535891E-4</v>
      </c>
      <c r="D28" s="2">
        <f t="shared" si="1"/>
        <v>5.3953060837071782E-4</v>
      </c>
    </row>
    <row r="29" spans="1:11" x14ac:dyDescent="0.25">
      <c r="B29" s="1">
        <f t="shared" si="4"/>
        <v>2.8000000000000018E-2</v>
      </c>
      <c r="C29" s="2">
        <f t="shared" si="0"/>
        <v>2.7975661174777959E-4</v>
      </c>
      <c r="D29" s="2">
        <f t="shared" si="1"/>
        <v>5.5951322349555917E-4</v>
      </c>
    </row>
    <row r="30" spans="1:11" x14ac:dyDescent="0.25">
      <c r="B30" s="1">
        <f t="shared" si="4"/>
        <v>2.9000000000000019E-2</v>
      </c>
      <c r="C30" s="2">
        <f t="shared" si="0"/>
        <v>2.8974791931020031E-4</v>
      </c>
      <c r="D30" s="2">
        <f t="shared" si="1"/>
        <v>5.7949583862040063E-4</v>
      </c>
    </row>
    <row r="31" spans="1:11" x14ac:dyDescent="0.25">
      <c r="B31" s="1">
        <f>0.001+B30</f>
        <v>3.000000000000002E-2</v>
      </c>
      <c r="C31" s="2">
        <f t="shared" si="0"/>
        <v>2.9973922687262099E-4</v>
      </c>
      <c r="D31" s="2">
        <f t="shared" si="1"/>
        <v>5.9947845374524198E-4</v>
      </c>
    </row>
    <row r="34" spans="1:4" x14ac:dyDescent="0.25">
      <c r="A34" t="s">
        <v>1</v>
      </c>
    </row>
    <row r="36" spans="1:4" x14ac:dyDescent="0.25">
      <c r="A36" t="s">
        <v>2</v>
      </c>
      <c r="B36">
        <v>100.087</v>
      </c>
      <c r="C36" t="s">
        <v>3</v>
      </c>
    </row>
    <row r="38" spans="1:4" x14ac:dyDescent="0.25">
      <c r="A38" t="s">
        <v>4</v>
      </c>
      <c r="B38">
        <v>40.043199999999999</v>
      </c>
      <c r="C38" t="s">
        <v>5</v>
      </c>
    </row>
    <row r="39" spans="1:4" x14ac:dyDescent="0.25">
      <c r="B39">
        <f>B38*10000</f>
        <v>400432</v>
      </c>
      <c r="C39" t="s">
        <v>6</v>
      </c>
    </row>
    <row r="41" spans="1:4" x14ac:dyDescent="0.25">
      <c r="A41" t="s">
        <v>9</v>
      </c>
      <c r="B41">
        <v>1.0982000000000001</v>
      </c>
      <c r="C41" t="s">
        <v>10</v>
      </c>
      <c r="D41" t="s">
        <v>11</v>
      </c>
    </row>
    <row r="42" spans="1:4" x14ac:dyDescent="0.25">
      <c r="A42" t="s">
        <v>12</v>
      </c>
      <c r="B42">
        <v>1.012</v>
      </c>
      <c r="C42" t="s">
        <v>10</v>
      </c>
    </row>
    <row r="43" spans="1:4" x14ac:dyDescent="0.25">
      <c r="A43" t="s">
        <v>13</v>
      </c>
      <c r="B43">
        <v>1.0027999999999999</v>
      </c>
      <c r="C43" t="s">
        <v>10</v>
      </c>
      <c r="D43" t="s">
        <v>20</v>
      </c>
    </row>
    <row r="44" spans="1:4" x14ac:dyDescent="0.25">
      <c r="A44" t="s">
        <v>95</v>
      </c>
      <c r="B44">
        <v>17.399999999999999</v>
      </c>
      <c r="C44" t="s">
        <v>96</v>
      </c>
    </row>
    <row r="45" spans="1:4" x14ac:dyDescent="0.25">
      <c r="A45" t="s">
        <v>97</v>
      </c>
      <c r="B45">
        <f>2*B44/100</f>
        <v>0.34799999999999998</v>
      </c>
      <c r="C45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workbookViewId="0">
      <selection activeCell="B3" sqref="B3:B22"/>
    </sheetView>
  </sheetViews>
  <sheetFormatPr defaultColWidth="8.85546875" defaultRowHeight="15" x14ac:dyDescent="0.25"/>
  <cols>
    <col min="2" max="2" width="23.140625" customWidth="1"/>
    <col min="3" max="3" width="8.85546875" customWidth="1"/>
    <col min="10" max="10" width="10.28515625" style="20" bestFit="1" customWidth="1"/>
    <col min="16" max="16" width="8.85546875" style="20"/>
  </cols>
  <sheetData>
    <row r="1" spans="1:35" x14ac:dyDescent="0.25">
      <c r="C1" s="3" t="s">
        <v>34</v>
      </c>
      <c r="D1" s="3"/>
      <c r="E1" s="3"/>
      <c r="F1" s="3"/>
      <c r="G1" s="3"/>
      <c r="H1" s="3"/>
      <c r="I1" s="3"/>
      <c r="J1" s="18"/>
      <c r="K1" s="3"/>
      <c r="L1" s="3"/>
      <c r="M1" s="5" t="s">
        <v>35</v>
      </c>
      <c r="N1" s="5"/>
      <c r="O1" s="5"/>
      <c r="P1" s="25"/>
      <c r="Q1" s="5"/>
      <c r="R1" s="5"/>
      <c r="S1" s="5"/>
      <c r="T1" s="5"/>
      <c r="U1" s="5"/>
      <c r="V1" s="5"/>
      <c r="W1" s="5"/>
      <c r="X1" s="5"/>
      <c r="Y1" s="13" t="s">
        <v>46</v>
      </c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s="7" customFormat="1" ht="60.75" thickBot="1" x14ac:dyDescent="0.3">
      <c r="A2" s="7" t="s">
        <v>21</v>
      </c>
      <c r="B2" s="7" t="s">
        <v>112</v>
      </c>
      <c r="C2" s="7" t="s">
        <v>22</v>
      </c>
      <c r="D2" s="7" t="s">
        <v>24</v>
      </c>
      <c r="E2" s="7" t="s">
        <v>72</v>
      </c>
      <c r="F2" s="7" t="s">
        <v>26</v>
      </c>
      <c r="G2" s="7" t="s">
        <v>27</v>
      </c>
      <c r="H2" s="7" t="s">
        <v>28</v>
      </c>
      <c r="I2" s="7" t="s">
        <v>29</v>
      </c>
      <c r="J2" s="19" t="s">
        <v>30</v>
      </c>
      <c r="K2" s="7" t="s">
        <v>31</v>
      </c>
      <c r="L2" s="7" t="s">
        <v>32</v>
      </c>
      <c r="M2" s="7" t="s">
        <v>33</v>
      </c>
      <c r="N2" s="7" t="s">
        <v>36</v>
      </c>
      <c r="O2" s="7" t="s">
        <v>37</v>
      </c>
      <c r="P2" s="19" t="s">
        <v>38</v>
      </c>
      <c r="Q2" s="7" t="s">
        <v>39</v>
      </c>
      <c r="R2" s="7" t="s">
        <v>40</v>
      </c>
      <c r="S2" s="7" t="s">
        <v>41</v>
      </c>
      <c r="T2" s="7" t="s">
        <v>99</v>
      </c>
      <c r="U2" s="7" t="s">
        <v>43</v>
      </c>
      <c r="V2" s="7" t="s">
        <v>44</v>
      </c>
      <c r="W2" s="7" t="s">
        <v>45</v>
      </c>
      <c r="X2" s="7" t="s">
        <v>47</v>
      </c>
      <c r="Y2" s="7" t="s">
        <v>33</v>
      </c>
      <c r="Z2" s="7" t="s">
        <v>48</v>
      </c>
      <c r="AA2" s="7" t="s">
        <v>49</v>
      </c>
      <c r="AB2" s="7" t="s">
        <v>38</v>
      </c>
      <c r="AC2" s="7" t="s">
        <v>39</v>
      </c>
      <c r="AD2" s="7" t="s">
        <v>40</v>
      </c>
      <c r="AE2" s="7" t="s">
        <v>41</v>
      </c>
      <c r="AF2" s="7" t="s">
        <v>42</v>
      </c>
      <c r="AG2" s="7" t="s">
        <v>43</v>
      </c>
      <c r="AH2" s="7" t="s">
        <v>50</v>
      </c>
      <c r="AI2" s="7" t="s">
        <v>51</v>
      </c>
    </row>
    <row r="3" spans="1:35" ht="15.75" thickBot="1" x14ac:dyDescent="0.3">
      <c r="A3" t="s">
        <v>52</v>
      </c>
      <c r="B3" t="s">
        <v>113</v>
      </c>
      <c r="C3" s="14">
        <v>1.23051</v>
      </c>
      <c r="D3" s="14">
        <v>-1.204E-2</v>
      </c>
      <c r="E3" s="15">
        <f>-1*D3</f>
        <v>1.204E-2</v>
      </c>
      <c r="F3">
        <v>1.5</v>
      </c>
      <c r="G3" s="12">
        <v>1.6416599999999999</v>
      </c>
      <c r="H3" s="12">
        <v>1.23308</v>
      </c>
      <c r="I3" s="2">
        <f>E3-(H3-C3)</f>
        <v>9.4700000000000392E-3</v>
      </c>
      <c r="J3" s="20">
        <f>(G3+I3)/I3</f>
        <v>174.35374868004152</v>
      </c>
      <c r="K3" s="17">
        <f>$C$33/J3</f>
        <v>2296.6641269918273</v>
      </c>
      <c r="L3">
        <f>K3/200</f>
        <v>11.483320634959137</v>
      </c>
      <c r="M3">
        <v>2.5</v>
      </c>
      <c r="N3" s="20">
        <f>M3/L3</f>
        <v>0.21770706222285122</v>
      </c>
      <c r="O3" s="14">
        <v>0.23641999999999999</v>
      </c>
      <c r="P3" s="20">
        <f>M3-N3</f>
        <v>2.2822929377771488</v>
      </c>
      <c r="Q3" s="14">
        <v>2.28979</v>
      </c>
      <c r="R3">
        <f>O3+Q3</f>
        <v>2.5262099999999998</v>
      </c>
      <c r="S3">
        <f>(O3/$C$35)+(Q3/$C$36)</f>
        <v>2.4779178882727972</v>
      </c>
      <c r="T3">
        <f>R3/S3</f>
        <v>1.0194889878941324</v>
      </c>
      <c r="U3">
        <f>S3/(O3/$C$35)</f>
        <v>11.51023358811093</v>
      </c>
      <c r="V3">
        <f>K3/U3</f>
        <v>199.53236477877229</v>
      </c>
      <c r="W3">
        <f>V3/10</f>
        <v>19.95323647787723</v>
      </c>
      <c r="X3">
        <f>U3*J3</f>
        <v>2006.8523742700656</v>
      </c>
      <c r="Y3">
        <v>2.5</v>
      </c>
      <c r="Z3" s="20">
        <f>Y3/W3</f>
        <v>0.12529295699832091</v>
      </c>
      <c r="AA3" s="12">
        <v>0.12831999999999999</v>
      </c>
      <c r="AB3" s="20">
        <f>Y3-Z3</f>
        <v>2.374707043001679</v>
      </c>
      <c r="AC3" s="12">
        <v>2.3924300000000001</v>
      </c>
      <c r="AD3">
        <f>AA3+AC3</f>
        <v>2.52075</v>
      </c>
      <c r="AE3">
        <f>(AA3/T3)+(AC3/$C$36)</f>
        <v>2.4899282447735893</v>
      </c>
      <c r="AF3">
        <f>AD3/AE3</f>
        <v>1.012378571668122</v>
      </c>
      <c r="AG3">
        <f>AE3/(AA3/T3)</f>
        <v>19.78221965549595</v>
      </c>
      <c r="AH3">
        <f>V3/AG3</f>
        <v>10.086449764161712</v>
      </c>
      <c r="AI3">
        <f>X3*AG3</f>
        <v>39699.994483964008</v>
      </c>
    </row>
    <row r="4" spans="1:35" ht="15.75" thickBot="1" x14ac:dyDescent="0.3">
      <c r="A4" t="s">
        <v>53</v>
      </c>
      <c r="B4" t="s">
        <v>114</v>
      </c>
      <c r="C4" s="12">
        <v>1.2303200000000001</v>
      </c>
      <c r="D4" s="12">
        <v>-1.1820000000000001E-2</v>
      </c>
      <c r="E4" s="15">
        <f t="shared" ref="E4:E22" si="0">-1*D4</f>
        <v>1.1820000000000001E-2</v>
      </c>
      <c r="F4">
        <v>1.5</v>
      </c>
      <c r="G4" s="12">
        <v>1.6426000000000001</v>
      </c>
      <c r="H4" s="12">
        <v>1.23363</v>
      </c>
      <c r="I4" s="2">
        <f>E4-(H4-C4)</f>
        <v>8.5100000000000765E-3</v>
      </c>
      <c r="J4" s="20">
        <f t="shared" ref="J4:J21" si="1">(G4+I4)/I4</f>
        <v>194.01997649823562</v>
      </c>
      <c r="K4" s="17">
        <f t="shared" ref="K4:K21" si="2">$C$33/J4</f>
        <v>2063.8699541520737</v>
      </c>
      <c r="L4">
        <f t="shared" ref="L4:L21" si="3">K4/200</f>
        <v>10.319349770760368</v>
      </c>
      <c r="M4">
        <v>2.5</v>
      </c>
      <c r="N4" s="20">
        <f t="shared" ref="N4:N21" si="4">M4/L4</f>
        <v>0.24226332623046565</v>
      </c>
      <c r="O4" s="14">
        <v>0.26283000000000001</v>
      </c>
      <c r="P4" s="20">
        <f t="shared" ref="P4:P22" si="5">M4-N4</f>
        <v>2.2577366737695344</v>
      </c>
      <c r="Q4" s="14">
        <v>2.2838599999999998</v>
      </c>
      <c r="R4">
        <f t="shared" ref="R4:R22" si="6">O4+Q4</f>
        <v>2.5466899999999999</v>
      </c>
      <c r="S4">
        <f t="shared" ref="S4:S22" si="7">(O4/$C$35)+(Q4/$C$36)</f>
        <v>2.4961066473849045</v>
      </c>
      <c r="T4">
        <f t="shared" ref="T4:T22" si="8">R4/S4</f>
        <v>1.0202649004072362</v>
      </c>
      <c r="U4">
        <f t="shared" ref="U4:U22" si="9">S4/(O4/$C$35)</f>
        <v>10.429647757706892</v>
      </c>
      <c r="V4">
        <f t="shared" ref="V4:V21" si="10">K4/U4</f>
        <v>197.88491443797764</v>
      </c>
      <c r="W4">
        <f t="shared" ref="W4:W21" si="11">V4/10</f>
        <v>19.788491443797763</v>
      </c>
      <c r="X4">
        <f t="shared" ref="X4:X21" si="12">U4*J4</f>
        <v>2023.5600128351671</v>
      </c>
      <c r="Y4">
        <v>2.5</v>
      </c>
      <c r="Z4" s="20">
        <f t="shared" ref="Z4:Z21" si="13">Y4/W4</f>
        <v>0.12633605785970947</v>
      </c>
      <c r="AA4" s="12">
        <v>0.12808</v>
      </c>
      <c r="AB4" s="20">
        <f t="shared" ref="AB4:AB21" si="14">Y4-Z4</f>
        <v>2.3736639421402908</v>
      </c>
      <c r="AC4" s="12">
        <v>2.39079</v>
      </c>
      <c r="AD4">
        <f t="shared" ref="AD4:AD21" si="15">AA4+AC4</f>
        <v>2.5188700000000002</v>
      </c>
      <c r="AE4">
        <f t="shared" ref="AE4:AE21" si="16">(AA4/T4)+(AC4/$C$36)</f>
        <v>2.4879767364191823</v>
      </c>
      <c r="AF4">
        <f t="shared" ref="AF4:AF21" si="17">AD4/AE4</f>
        <v>1.0124170226869891</v>
      </c>
      <c r="AG4">
        <f t="shared" ref="AG4:AG21" si="18">AE4/(AA4/T4)</f>
        <v>19.818826805108039</v>
      </c>
      <c r="AH4">
        <f t="shared" ref="AH4:AH21" si="19">V4/AG4</f>
        <v>9.9846936644592628</v>
      </c>
      <c r="AI4">
        <f t="shared" ref="AI4:AI21" si="20">X4*AG4</f>
        <v>40104.585424122379</v>
      </c>
    </row>
    <row r="5" spans="1:35" ht="15.75" thickBot="1" x14ac:dyDescent="0.3">
      <c r="A5" t="s">
        <v>54</v>
      </c>
      <c r="B5" t="s">
        <v>115</v>
      </c>
      <c r="C5" s="12">
        <v>1.22912</v>
      </c>
      <c r="D5" s="12">
        <v>-1.2710000000000001E-2</v>
      </c>
      <c r="E5" s="15">
        <f t="shared" si="0"/>
        <v>1.2710000000000001E-2</v>
      </c>
      <c r="F5">
        <v>1.5</v>
      </c>
      <c r="G5" s="12">
        <v>1.63774</v>
      </c>
      <c r="H5" s="12">
        <v>1.2293000000000001</v>
      </c>
      <c r="I5" s="2">
        <f t="shared" ref="I5:I22" si="21">E5-(H5-C5)</f>
        <v>1.2529999999999932E-2</v>
      </c>
      <c r="J5" s="20">
        <f t="shared" si="1"/>
        <v>131.70550678371978</v>
      </c>
      <c r="K5" s="17">
        <f t="shared" si="2"/>
        <v>3040.3588261314653</v>
      </c>
      <c r="L5">
        <f t="shared" si="3"/>
        <v>15.201794130657326</v>
      </c>
      <c r="M5">
        <v>2.5</v>
      </c>
      <c r="N5" s="20">
        <f t="shared" si="4"/>
        <v>0.16445427286495556</v>
      </c>
      <c r="O5" s="14">
        <v>0.17910999999999999</v>
      </c>
      <c r="P5" s="20">
        <f t="shared" si="5"/>
        <v>2.3355457271350444</v>
      </c>
      <c r="Q5" s="14">
        <v>2.35907</v>
      </c>
      <c r="R5">
        <f t="shared" si="6"/>
        <v>2.5381800000000001</v>
      </c>
      <c r="S5">
        <f t="shared" si="7"/>
        <v>2.494190992014961</v>
      </c>
      <c r="T5">
        <f t="shared" si="8"/>
        <v>1.0176365836160375</v>
      </c>
      <c r="U5">
        <f t="shared" si="9"/>
        <v>15.292951523816818</v>
      </c>
      <c r="V5">
        <f t="shared" si="10"/>
        <v>198.8078508845395</v>
      </c>
      <c r="W5">
        <f t="shared" si="11"/>
        <v>19.880785088453951</v>
      </c>
      <c r="X5">
        <f t="shared" si="12"/>
        <v>2014.1659306631536</v>
      </c>
      <c r="Y5">
        <v>2.5</v>
      </c>
      <c r="Z5" s="20">
        <f t="shared" si="13"/>
        <v>0.12574956114041547</v>
      </c>
      <c r="AA5" s="12">
        <v>0.12742999999999999</v>
      </c>
      <c r="AB5" s="20">
        <f t="shared" si="14"/>
        <v>2.3742504388595846</v>
      </c>
      <c r="AC5" s="12">
        <v>2.3984299999999998</v>
      </c>
      <c r="AD5">
        <f t="shared" si="15"/>
        <v>2.5258599999999998</v>
      </c>
      <c r="AE5">
        <f t="shared" si="16"/>
        <v>2.4952116387657401</v>
      </c>
      <c r="AF5">
        <f t="shared" si="17"/>
        <v>1.0122828704219333</v>
      </c>
      <c r="AG5">
        <f t="shared" si="18"/>
        <v>19.926380345856877</v>
      </c>
      <c r="AH5">
        <f t="shared" si="19"/>
        <v>9.9771181435807499</v>
      </c>
      <c r="AI5">
        <f t="shared" si="20"/>
        <v>40135.036414060793</v>
      </c>
    </row>
    <row r="6" spans="1:35" ht="15.75" thickBot="1" x14ac:dyDescent="0.3">
      <c r="A6" t="s">
        <v>55</v>
      </c>
      <c r="B6" t="s">
        <v>116</v>
      </c>
      <c r="C6" s="12">
        <v>1.2281299999999999</v>
      </c>
      <c r="D6" s="12">
        <v>-1.2449999999999999E-2</v>
      </c>
      <c r="E6" s="15">
        <f t="shared" si="0"/>
        <v>1.2449999999999999E-2</v>
      </c>
      <c r="F6">
        <v>1.5</v>
      </c>
      <c r="G6" s="12">
        <v>1.6397200000000001</v>
      </c>
      <c r="H6" s="12">
        <v>1.2282900000000001</v>
      </c>
      <c r="I6" s="2">
        <f t="shared" si="21"/>
        <v>1.2289999999999839E-2</v>
      </c>
      <c r="J6" s="20">
        <f t="shared" si="1"/>
        <v>134.41903986981461</v>
      </c>
      <c r="K6" s="17">
        <f t="shared" si="2"/>
        <v>2978.9827422351777</v>
      </c>
      <c r="L6">
        <f t="shared" si="3"/>
        <v>14.894913711175889</v>
      </c>
      <c r="M6">
        <v>2.5</v>
      </c>
      <c r="N6" s="20">
        <f t="shared" si="4"/>
        <v>0.16784252990497089</v>
      </c>
      <c r="O6" s="14">
        <v>0.18145</v>
      </c>
      <c r="P6" s="20">
        <f t="shared" si="5"/>
        <v>2.3321574700950292</v>
      </c>
      <c r="Q6" s="14">
        <v>2.34965</v>
      </c>
      <c r="R6">
        <f t="shared" si="6"/>
        <v>2.5310999999999999</v>
      </c>
      <c r="S6">
        <f t="shared" si="7"/>
        <v>2.4870134510442168</v>
      </c>
      <c r="T6">
        <f t="shared" si="8"/>
        <v>1.0177267030611645</v>
      </c>
      <c r="U6">
        <f t="shared" si="9"/>
        <v>15.052290834592226</v>
      </c>
      <c r="V6">
        <f t="shared" si="10"/>
        <v>197.90892794796838</v>
      </c>
      <c r="W6">
        <f t="shared" si="11"/>
        <v>19.790892794796839</v>
      </c>
      <c r="X6">
        <f t="shared" si="12"/>
        <v>2023.3144818270973</v>
      </c>
      <c r="Y6">
        <v>2.5</v>
      </c>
      <c r="Z6" s="20">
        <f t="shared" si="13"/>
        <v>0.12632072872716824</v>
      </c>
      <c r="AA6" s="12">
        <v>0.12853000000000001</v>
      </c>
      <c r="AB6" s="20">
        <f t="shared" si="14"/>
        <v>2.3736792712728318</v>
      </c>
      <c r="AC6" s="12">
        <v>2.3952300000000002</v>
      </c>
      <c r="AD6">
        <f t="shared" si="15"/>
        <v>2.5237600000000002</v>
      </c>
      <c r="AE6">
        <f t="shared" si="16"/>
        <v>2.4931193353610204</v>
      </c>
      <c r="AF6">
        <f t="shared" si="17"/>
        <v>1.0122900914546646</v>
      </c>
      <c r="AG6">
        <f t="shared" si="18"/>
        <v>19.741026386952566</v>
      </c>
      <c r="AH6">
        <f t="shared" si="19"/>
        <v>10.02526029136825</v>
      </c>
      <c r="AI6">
        <f t="shared" si="20"/>
        <v>39942.304574851987</v>
      </c>
    </row>
    <row r="7" spans="1:35" ht="15.75" thickBot="1" x14ac:dyDescent="0.3">
      <c r="A7" t="s">
        <v>56</v>
      </c>
      <c r="B7" t="s">
        <v>117</v>
      </c>
      <c r="C7" s="12">
        <v>1.2308300000000001</v>
      </c>
      <c r="D7" s="12">
        <v>-1.1679999999999999E-2</v>
      </c>
      <c r="E7" s="15">
        <f t="shared" si="0"/>
        <v>1.1679999999999999E-2</v>
      </c>
      <c r="F7">
        <v>1.5</v>
      </c>
      <c r="G7" s="12">
        <v>1.64462</v>
      </c>
      <c r="H7" s="12">
        <v>1.2310399999999999</v>
      </c>
      <c r="I7" s="2">
        <f t="shared" si="21"/>
        <v>1.1470000000000178E-2</v>
      </c>
      <c r="J7" s="20">
        <f t="shared" si="1"/>
        <v>144.38448125544676</v>
      </c>
      <c r="K7" s="17">
        <f t="shared" si="2"/>
        <v>2773.3728480940476</v>
      </c>
      <c r="L7">
        <f t="shared" si="3"/>
        <v>13.866864240470239</v>
      </c>
      <c r="M7">
        <v>2.5</v>
      </c>
      <c r="N7" s="20">
        <f t="shared" si="4"/>
        <v>0.18028589280507895</v>
      </c>
      <c r="O7" s="14">
        <v>0.19605</v>
      </c>
      <c r="P7" s="20">
        <f t="shared" si="5"/>
        <v>2.3197141071949212</v>
      </c>
      <c r="Q7" s="14">
        <v>2.34145</v>
      </c>
      <c r="R7">
        <f t="shared" si="6"/>
        <v>2.5375000000000001</v>
      </c>
      <c r="S7">
        <f t="shared" si="7"/>
        <v>2.4922051661252373</v>
      </c>
      <c r="T7">
        <f t="shared" si="8"/>
        <v>1.0181746007473313</v>
      </c>
      <c r="U7">
        <f t="shared" si="9"/>
        <v>13.960416798973403</v>
      </c>
      <c r="V7">
        <f t="shared" si="10"/>
        <v>198.65974548109418</v>
      </c>
      <c r="W7">
        <f t="shared" si="11"/>
        <v>19.865974548109417</v>
      </c>
      <c r="X7">
        <f t="shared" si="12"/>
        <v>2015.6675376295993</v>
      </c>
      <c r="Y7">
        <v>2.5</v>
      </c>
      <c r="Z7" s="20">
        <f t="shared" si="13"/>
        <v>0.12584331032669713</v>
      </c>
      <c r="AA7" s="12">
        <v>0.12864999999999999</v>
      </c>
      <c r="AB7" s="20">
        <f t="shared" si="14"/>
        <v>2.3741566896733031</v>
      </c>
      <c r="AC7" s="12">
        <v>2.3975300000000002</v>
      </c>
      <c r="AD7">
        <f t="shared" si="15"/>
        <v>2.5261800000000001</v>
      </c>
      <c r="AE7">
        <f t="shared" si="16"/>
        <v>2.4954543647491096</v>
      </c>
      <c r="AF7">
        <f t="shared" si="17"/>
        <v>1.0123126416114525</v>
      </c>
      <c r="AG7">
        <f t="shared" si="18"/>
        <v>19.749772650692655</v>
      </c>
      <c r="AH7">
        <f t="shared" si="19"/>
        <v>10.058837081049987</v>
      </c>
      <c r="AI7">
        <f t="shared" si="20"/>
        <v>39808.97560756607</v>
      </c>
    </row>
    <row r="8" spans="1:35" ht="15.75" thickBot="1" x14ac:dyDescent="0.3">
      <c r="A8" t="s">
        <v>57</v>
      </c>
      <c r="B8" t="s">
        <v>118</v>
      </c>
      <c r="C8" s="12">
        <v>1.23315</v>
      </c>
      <c r="D8" s="12">
        <v>-1.0840000000000001E-2</v>
      </c>
      <c r="E8" s="15">
        <f t="shared" si="0"/>
        <v>1.0840000000000001E-2</v>
      </c>
      <c r="F8">
        <v>1.5</v>
      </c>
      <c r="G8" s="12">
        <v>1.6416999999999999</v>
      </c>
      <c r="H8" s="12">
        <v>1.2341</v>
      </c>
      <c r="I8" s="2">
        <f t="shared" si="21"/>
        <v>9.8899999999999943E-3</v>
      </c>
      <c r="J8" s="20">
        <f t="shared" si="1"/>
        <v>166.99595551061688</v>
      </c>
      <c r="K8" s="17">
        <f t="shared" si="2"/>
        <v>2397.8544796226652</v>
      </c>
      <c r="L8">
        <f t="shared" si="3"/>
        <v>11.989272398113325</v>
      </c>
      <c r="M8">
        <v>2.5</v>
      </c>
      <c r="N8" s="20">
        <f t="shared" si="4"/>
        <v>0.2085197430657601</v>
      </c>
      <c r="O8" s="14">
        <v>0.22772000000000001</v>
      </c>
      <c r="P8" s="20">
        <f t="shared" si="5"/>
        <v>2.2914802569342401</v>
      </c>
      <c r="Q8" s="14">
        <v>2.3119000000000001</v>
      </c>
      <c r="R8">
        <f t="shared" si="6"/>
        <v>2.5396200000000002</v>
      </c>
      <c r="S8">
        <f t="shared" si="7"/>
        <v>2.4918436600891289</v>
      </c>
      <c r="T8">
        <f t="shared" si="8"/>
        <v>1.0191730888562898</v>
      </c>
      <c r="U8">
        <f t="shared" si="9"/>
        <v>12.017138185095211</v>
      </c>
      <c r="V8">
        <f t="shared" si="10"/>
        <v>199.53623256131903</v>
      </c>
      <c r="W8">
        <f t="shared" si="11"/>
        <v>19.953623256131902</v>
      </c>
      <c r="X8">
        <f t="shared" si="12"/>
        <v>2006.8134737230953</v>
      </c>
      <c r="Y8">
        <v>2.5</v>
      </c>
      <c r="Z8" s="20">
        <f t="shared" si="13"/>
        <v>0.1252905283370894</v>
      </c>
      <c r="AA8" s="12">
        <v>0.12501000000000001</v>
      </c>
      <c r="AB8" s="20">
        <f t="shared" si="14"/>
        <v>2.3747094716629107</v>
      </c>
      <c r="AC8" s="12">
        <v>2.3956499999999998</v>
      </c>
      <c r="AD8">
        <f t="shared" si="15"/>
        <v>2.5206599999999999</v>
      </c>
      <c r="AE8">
        <f t="shared" si="16"/>
        <v>2.4899013452430836</v>
      </c>
      <c r="AF8">
        <f t="shared" si="17"/>
        <v>1.012353362841335</v>
      </c>
      <c r="AG8">
        <f t="shared" si="18"/>
        <v>20.299499599862607</v>
      </c>
      <c r="AH8">
        <f t="shared" si="19"/>
        <v>9.829613364590994</v>
      </c>
      <c r="AI8">
        <f t="shared" si="20"/>
        <v>40737.309306840863</v>
      </c>
    </row>
    <row r="9" spans="1:35" ht="15.75" thickBot="1" x14ac:dyDescent="0.3">
      <c r="A9" t="s">
        <v>58</v>
      </c>
      <c r="B9" t="s">
        <v>119</v>
      </c>
      <c r="C9" s="12">
        <v>1.23749</v>
      </c>
      <c r="D9" s="12">
        <v>-1.1480000000000001E-2</v>
      </c>
      <c r="E9" s="15">
        <f t="shared" si="0"/>
        <v>1.1480000000000001E-2</v>
      </c>
      <c r="F9">
        <v>1.5</v>
      </c>
      <c r="G9" s="12">
        <v>1.6359699999999999</v>
      </c>
      <c r="H9" s="12">
        <v>1.23811</v>
      </c>
      <c r="I9" s="2">
        <f t="shared" si="21"/>
        <v>1.0859999999999936E-2</v>
      </c>
      <c r="J9" s="20">
        <f t="shared" si="1"/>
        <v>151.6418047882145</v>
      </c>
      <c r="K9" s="17">
        <f t="shared" si="2"/>
        <v>2640.6438551641486</v>
      </c>
      <c r="L9">
        <f t="shared" si="3"/>
        <v>13.203219275820743</v>
      </c>
      <c r="M9">
        <v>2.5</v>
      </c>
      <c r="N9" s="20">
        <f t="shared" si="4"/>
        <v>0.18934776040403178</v>
      </c>
      <c r="O9" s="14">
        <v>0.20519000000000001</v>
      </c>
      <c r="P9" s="20">
        <f t="shared" si="5"/>
        <v>2.3106522395959681</v>
      </c>
      <c r="Q9" s="14">
        <v>2.3332600000000001</v>
      </c>
      <c r="R9">
        <f t="shared" si="6"/>
        <v>2.5384500000000001</v>
      </c>
      <c r="S9">
        <f t="shared" si="7"/>
        <v>2.4924349906386518</v>
      </c>
      <c r="T9">
        <f t="shared" si="8"/>
        <v>1.0184618694305674</v>
      </c>
      <c r="U9">
        <f t="shared" si="9"/>
        <v>13.339792907643488</v>
      </c>
      <c r="V9">
        <f t="shared" si="10"/>
        <v>197.9523875255291</v>
      </c>
      <c r="W9">
        <f t="shared" si="11"/>
        <v>19.795238752552912</v>
      </c>
      <c r="X9">
        <f t="shared" si="12"/>
        <v>2022.8702720160823</v>
      </c>
      <c r="Y9">
        <v>2.5</v>
      </c>
      <c r="Z9" s="20">
        <f t="shared" si="13"/>
        <v>0.12629299556579407</v>
      </c>
      <c r="AA9" s="12">
        <v>0.12881000000000001</v>
      </c>
      <c r="AB9" s="20">
        <f t="shared" si="14"/>
        <v>2.3737070044342059</v>
      </c>
      <c r="AC9" s="12">
        <v>2.39514</v>
      </c>
      <c r="AD9">
        <f t="shared" si="15"/>
        <v>2.5239500000000001</v>
      </c>
      <c r="AE9">
        <f t="shared" si="16"/>
        <v>2.4932141648629433</v>
      </c>
      <c r="AF9">
        <f t="shared" si="17"/>
        <v>1.012327795810813</v>
      </c>
      <c r="AG9">
        <f t="shared" si="18"/>
        <v>19.713093387447277</v>
      </c>
      <c r="AH9">
        <f t="shared" si="19"/>
        <v>10.041670459065518</v>
      </c>
      <c r="AI9">
        <f t="shared" si="20"/>
        <v>39877.030582943902</v>
      </c>
    </row>
    <row r="10" spans="1:35" ht="15.75" thickBot="1" x14ac:dyDescent="0.3">
      <c r="A10" t="s">
        <v>59</v>
      </c>
      <c r="B10" t="s">
        <v>120</v>
      </c>
      <c r="C10" s="12">
        <v>1.23112</v>
      </c>
      <c r="D10" s="12">
        <v>-1.132E-2</v>
      </c>
      <c r="E10" s="15">
        <f t="shared" si="0"/>
        <v>1.132E-2</v>
      </c>
      <c r="F10">
        <v>1.5</v>
      </c>
      <c r="G10" s="12">
        <v>1.6386000000000001</v>
      </c>
      <c r="H10" s="12">
        <v>1.2318499999999999</v>
      </c>
      <c r="I10" s="2">
        <f t="shared" si="21"/>
        <v>1.0590000000000103E-2</v>
      </c>
      <c r="J10" s="20">
        <f t="shared" si="1"/>
        <v>155.73087818696735</v>
      </c>
      <c r="K10" s="17">
        <f t="shared" si="2"/>
        <v>2571.3076601240855</v>
      </c>
      <c r="L10">
        <f t="shared" si="3"/>
        <v>12.856538300620427</v>
      </c>
      <c r="M10">
        <v>2.5</v>
      </c>
      <c r="N10" s="20">
        <f t="shared" si="4"/>
        <v>0.19445358785882166</v>
      </c>
      <c r="O10" s="14">
        <v>0.21204999999999999</v>
      </c>
      <c r="P10" s="20">
        <f t="shared" si="5"/>
        <v>2.3055464121411782</v>
      </c>
      <c r="Q10" s="14">
        <v>2.3254600000000001</v>
      </c>
      <c r="R10">
        <f t="shared" si="6"/>
        <v>2.5375100000000002</v>
      </c>
      <c r="S10">
        <f t="shared" si="7"/>
        <v>2.4909740660786643</v>
      </c>
      <c r="T10">
        <f t="shared" si="8"/>
        <v>1.018681821924623</v>
      </c>
      <c r="U10">
        <f t="shared" si="9"/>
        <v>12.900673045826879</v>
      </c>
      <c r="V10">
        <f t="shared" si="10"/>
        <v>199.31577608315982</v>
      </c>
      <c r="W10">
        <f t="shared" si="11"/>
        <v>19.931577608315983</v>
      </c>
      <c r="X10">
        <f t="shared" si="12"/>
        <v>2009.0331426295588</v>
      </c>
      <c r="Y10">
        <v>2.5</v>
      </c>
      <c r="Z10" s="20">
        <f t="shared" si="13"/>
        <v>0.12542910797773146</v>
      </c>
      <c r="AA10" s="12">
        <v>0.12716</v>
      </c>
      <c r="AB10" s="20">
        <f t="shared" si="14"/>
        <v>2.3745708920222683</v>
      </c>
      <c r="AC10" s="12">
        <v>2.40076</v>
      </c>
      <c r="AD10">
        <f t="shared" si="15"/>
        <v>2.5279199999999999</v>
      </c>
      <c r="AE10">
        <f t="shared" si="16"/>
        <v>2.4971204759166876</v>
      </c>
      <c r="AF10">
        <f t="shared" si="17"/>
        <v>1.0123340160718541</v>
      </c>
      <c r="AG10">
        <f t="shared" si="18"/>
        <v>20.004492261498058</v>
      </c>
      <c r="AH10">
        <f t="shared" si="19"/>
        <v>9.9635508603622931</v>
      </c>
      <c r="AI10">
        <f t="shared" si="20"/>
        <v>40189.687954826135</v>
      </c>
    </row>
    <row r="11" spans="1:35" ht="15.75" thickBot="1" x14ac:dyDescent="0.3">
      <c r="A11" t="s">
        <v>60</v>
      </c>
      <c r="B11" t="s">
        <v>121</v>
      </c>
      <c r="C11" s="12">
        <v>1.2308399999999999</v>
      </c>
      <c r="D11" s="12">
        <v>-1.244E-2</v>
      </c>
      <c r="E11" s="15">
        <f t="shared" si="0"/>
        <v>1.244E-2</v>
      </c>
      <c r="F11">
        <v>1.5</v>
      </c>
      <c r="G11" s="12">
        <v>1.64157</v>
      </c>
      <c r="H11" s="12">
        <v>1.23143</v>
      </c>
      <c r="I11" s="2">
        <f t="shared" si="21"/>
        <v>1.1849999999999909E-2</v>
      </c>
      <c r="J11" s="20">
        <f t="shared" si="1"/>
        <v>139.5291139240517</v>
      </c>
      <c r="K11" s="17">
        <f t="shared" si="2"/>
        <v>2869.8813368653841</v>
      </c>
      <c r="L11">
        <f t="shared" si="3"/>
        <v>14.349406684326921</v>
      </c>
      <c r="M11">
        <v>2.5</v>
      </c>
      <c r="N11" s="20">
        <f t="shared" si="4"/>
        <v>0.17422323131524417</v>
      </c>
      <c r="O11" s="14">
        <v>0.18959999999999999</v>
      </c>
      <c r="P11" s="20">
        <f t="shared" si="5"/>
        <v>2.3257767686847557</v>
      </c>
      <c r="Q11" s="14">
        <v>2.3548300000000002</v>
      </c>
      <c r="R11">
        <f t="shared" si="6"/>
        <v>2.5444300000000002</v>
      </c>
      <c r="S11">
        <f t="shared" si="7"/>
        <v>2.4995532628670851</v>
      </c>
      <c r="T11">
        <f t="shared" si="8"/>
        <v>1.0179539031232483</v>
      </c>
      <c r="U11">
        <f t="shared" si="9"/>
        <v>14.477897643885196</v>
      </c>
      <c r="V11">
        <f t="shared" si="10"/>
        <v>198.22500527744035</v>
      </c>
      <c r="W11">
        <f t="shared" si="11"/>
        <v>19.822500527744033</v>
      </c>
      <c r="X11">
        <f t="shared" si="12"/>
        <v>2020.0882297344172</v>
      </c>
      <c r="Y11">
        <v>2.5</v>
      </c>
      <c r="Z11" s="20">
        <f t="shared" si="13"/>
        <v>0.12611930550845196</v>
      </c>
      <c r="AA11" s="12">
        <v>0.12753999999999999</v>
      </c>
      <c r="AB11" s="20">
        <f t="shared" si="14"/>
        <v>2.373880694491548</v>
      </c>
      <c r="AC11" s="12">
        <v>2.39331</v>
      </c>
      <c r="AD11">
        <f t="shared" si="15"/>
        <v>2.5208500000000003</v>
      </c>
      <c r="AE11">
        <f t="shared" si="16"/>
        <v>2.4902213757201173</v>
      </c>
      <c r="AF11">
        <f t="shared" si="17"/>
        <v>1.0122995588177481</v>
      </c>
      <c r="AG11">
        <f t="shared" si="18"/>
        <v>19.875572910892572</v>
      </c>
      <c r="AH11">
        <f t="shared" si="19"/>
        <v>9.9732976838521967</v>
      </c>
      <c r="AI11">
        <f t="shared" si="20"/>
        <v>40150.410896522313</v>
      </c>
    </row>
    <row r="12" spans="1:35" ht="15.75" thickBot="1" x14ac:dyDescent="0.3">
      <c r="A12" t="s">
        <v>61</v>
      </c>
      <c r="B12" t="s">
        <v>122</v>
      </c>
      <c r="C12" s="12">
        <v>1.2277800000000001</v>
      </c>
      <c r="D12" s="12">
        <v>-1.1140000000000001E-2</v>
      </c>
      <c r="E12" s="15">
        <f t="shared" si="0"/>
        <v>1.1140000000000001E-2</v>
      </c>
      <c r="F12">
        <v>1.5</v>
      </c>
      <c r="G12" s="12">
        <v>1.6410899999999999</v>
      </c>
      <c r="H12" s="12">
        <v>1.2299899999999999</v>
      </c>
      <c r="I12" s="2">
        <f t="shared" si="21"/>
        <v>8.9300000000001774E-3</v>
      </c>
      <c r="J12" s="20">
        <f t="shared" si="1"/>
        <v>184.77267637177684</v>
      </c>
      <c r="K12" s="17">
        <f t="shared" si="2"/>
        <v>2167.160252603042</v>
      </c>
      <c r="L12">
        <f t="shared" si="3"/>
        <v>10.83580126301521</v>
      </c>
      <c r="M12">
        <v>2.5</v>
      </c>
      <c r="N12" s="20">
        <f t="shared" si="4"/>
        <v>0.23071667145954475</v>
      </c>
      <c r="O12" s="14">
        <v>0.25081999999999999</v>
      </c>
      <c r="P12" s="20">
        <f t="shared" si="5"/>
        <v>2.2692833285404554</v>
      </c>
      <c r="Q12" s="14">
        <v>2.2852199999999998</v>
      </c>
      <c r="R12">
        <f t="shared" si="6"/>
        <v>2.5360399999999998</v>
      </c>
      <c r="S12">
        <f t="shared" si="7"/>
        <v>2.4865144436854267</v>
      </c>
      <c r="T12">
        <f t="shared" si="8"/>
        <v>1.019917662831336</v>
      </c>
      <c r="U12">
        <f t="shared" si="9"/>
        <v>10.887051120545953</v>
      </c>
      <c r="V12">
        <f t="shared" si="10"/>
        <v>199.0585171877438</v>
      </c>
      <c r="W12">
        <f t="shared" si="11"/>
        <v>19.905851718774379</v>
      </c>
      <c r="X12">
        <f t="shared" si="12"/>
        <v>2011.6295733396278</v>
      </c>
      <c r="Y12">
        <v>2.5</v>
      </c>
      <c r="Z12" s="20">
        <f t="shared" si="13"/>
        <v>0.12559120982711344</v>
      </c>
      <c r="AA12" s="12">
        <v>0.12812000000000001</v>
      </c>
      <c r="AB12" s="20">
        <f t="shared" si="14"/>
        <v>2.3744087901728865</v>
      </c>
      <c r="AC12" s="12">
        <v>2.3959899999999998</v>
      </c>
      <c r="AD12">
        <f t="shared" si="15"/>
        <v>2.5241099999999999</v>
      </c>
      <c r="AE12">
        <f t="shared" si="16"/>
        <v>2.4931970347452452</v>
      </c>
      <c r="AF12">
        <f t="shared" si="17"/>
        <v>1.0123989258867032</v>
      </c>
      <c r="AG12">
        <f t="shared" si="18"/>
        <v>19.847453111578112</v>
      </c>
      <c r="AH12">
        <f t="shared" si="19"/>
        <v>10.029423728509629</v>
      </c>
      <c r="AI12">
        <f t="shared" si="20"/>
        <v>39925.723634722148</v>
      </c>
    </row>
    <row r="13" spans="1:35" ht="15.75" thickBot="1" x14ac:dyDescent="0.3">
      <c r="A13" t="s">
        <v>62</v>
      </c>
      <c r="B13" t="s">
        <v>123</v>
      </c>
      <c r="C13" s="12">
        <v>1.23092</v>
      </c>
      <c r="D13" s="12">
        <v>-1.111E-2</v>
      </c>
      <c r="E13" s="15">
        <f t="shared" si="0"/>
        <v>1.111E-2</v>
      </c>
      <c r="F13">
        <v>1.5</v>
      </c>
      <c r="G13" s="12">
        <v>1.6386799999999999</v>
      </c>
      <c r="H13" s="12">
        <v>1.2354400000000001</v>
      </c>
      <c r="I13" s="2">
        <f t="shared" si="21"/>
        <v>6.5899999999999206E-3</v>
      </c>
      <c r="J13" s="20">
        <f t="shared" si="1"/>
        <v>249.6616084977268</v>
      </c>
      <c r="K13" s="17">
        <f t="shared" si="2"/>
        <v>1603.8989831456045</v>
      </c>
      <c r="L13">
        <f t="shared" si="3"/>
        <v>8.0194949157280231</v>
      </c>
      <c r="M13">
        <v>2.5</v>
      </c>
      <c r="N13" s="20">
        <f t="shared" si="4"/>
        <v>0.31174033106460869</v>
      </c>
      <c r="O13" s="14">
        <v>0.34014</v>
      </c>
      <c r="P13" s="20">
        <f t="shared" si="5"/>
        <v>2.1882596689353915</v>
      </c>
      <c r="Q13" s="14">
        <v>2.2079300000000002</v>
      </c>
      <c r="R13">
        <f t="shared" si="6"/>
        <v>2.5480700000000001</v>
      </c>
      <c r="S13">
        <f t="shared" si="7"/>
        <v>2.4914740164106126</v>
      </c>
      <c r="T13">
        <f t="shared" si="8"/>
        <v>1.0227158634674118</v>
      </c>
      <c r="U13">
        <f t="shared" si="9"/>
        <v>8.0441487764512694</v>
      </c>
      <c r="V13">
        <f t="shared" si="10"/>
        <v>199.3870361822392</v>
      </c>
      <c r="W13">
        <f t="shared" si="11"/>
        <v>19.938703618223919</v>
      </c>
      <c r="X13">
        <f t="shared" si="12"/>
        <v>2008.3151225238448</v>
      </c>
      <c r="Y13">
        <v>2.5</v>
      </c>
      <c r="Z13" s="20">
        <f t="shared" si="13"/>
        <v>0.12538428013519429</v>
      </c>
      <c r="AA13" s="12">
        <v>0.12786</v>
      </c>
      <c r="AB13" s="20">
        <f t="shared" si="14"/>
        <v>2.3746157198648059</v>
      </c>
      <c r="AC13" s="12">
        <v>2.4060100000000002</v>
      </c>
      <c r="AD13">
        <f t="shared" si="15"/>
        <v>2.5338700000000003</v>
      </c>
      <c r="AE13">
        <f t="shared" si="16"/>
        <v>2.5025002985097098</v>
      </c>
      <c r="AF13">
        <f t="shared" si="17"/>
        <v>1.012535343755592</v>
      </c>
      <c r="AG13">
        <f t="shared" si="18"/>
        <v>20.016789876566666</v>
      </c>
      <c r="AH13">
        <f t="shared" si="19"/>
        <v>9.960989619802044</v>
      </c>
      <c r="AI13">
        <f t="shared" si="20"/>
        <v>40200.021813491039</v>
      </c>
    </row>
    <row r="14" spans="1:35" ht="15.75" thickBot="1" x14ac:dyDescent="0.3">
      <c r="A14" t="s">
        <v>63</v>
      </c>
      <c r="B14" t="s">
        <v>124</v>
      </c>
      <c r="C14" s="12">
        <v>1.23126</v>
      </c>
      <c r="D14" s="12">
        <v>-1.103E-2</v>
      </c>
      <c r="E14" s="15">
        <f t="shared" si="0"/>
        <v>1.103E-2</v>
      </c>
      <c r="F14">
        <v>1.5</v>
      </c>
      <c r="G14" s="12">
        <v>1.6364700000000001</v>
      </c>
      <c r="H14" s="12">
        <v>1.2389699999999999</v>
      </c>
      <c r="I14" s="2">
        <f t="shared" si="21"/>
        <v>3.3200000000001163E-3</v>
      </c>
      <c r="J14" s="20">
        <f t="shared" si="1"/>
        <v>493.91265060239243</v>
      </c>
      <c r="K14" s="17">
        <f t="shared" si="2"/>
        <v>810.73444770369758</v>
      </c>
      <c r="L14">
        <f t="shared" si="3"/>
        <v>4.0536722385184882</v>
      </c>
      <c r="M14">
        <v>2.5</v>
      </c>
      <c r="N14" s="20">
        <f t="shared" si="4"/>
        <v>0.61672475052242626</v>
      </c>
      <c r="O14" s="14">
        <v>0.67057999999999995</v>
      </c>
      <c r="P14" s="20">
        <f t="shared" si="5"/>
        <v>1.8832752494775737</v>
      </c>
      <c r="Q14" s="14">
        <v>1.8882399999999999</v>
      </c>
      <c r="R14">
        <f t="shared" si="6"/>
        <v>2.5588199999999999</v>
      </c>
      <c r="S14">
        <f t="shared" si="7"/>
        <v>2.4764671762560795</v>
      </c>
      <c r="T14">
        <f t="shared" si="8"/>
        <v>1.0332541551664824</v>
      </c>
      <c r="U14">
        <f t="shared" si="9"/>
        <v>4.0556775522151369</v>
      </c>
      <c r="V14">
        <f t="shared" si="10"/>
        <v>199.90111079242214</v>
      </c>
      <c r="W14">
        <f t="shared" si="11"/>
        <v>19.990111079242215</v>
      </c>
      <c r="X14">
        <f t="shared" si="12"/>
        <v>2003.1504498032011</v>
      </c>
      <c r="Y14">
        <v>2.5</v>
      </c>
      <c r="Z14" s="20">
        <f t="shared" si="13"/>
        <v>0.12506183632946424</v>
      </c>
      <c r="AA14" s="12">
        <v>0.12867000000000001</v>
      </c>
      <c r="AB14" s="20">
        <f t="shared" si="14"/>
        <v>2.3749381636705356</v>
      </c>
      <c r="AC14" s="12">
        <v>2.38612</v>
      </c>
      <c r="AD14">
        <f t="shared" si="15"/>
        <v>2.5147900000000001</v>
      </c>
      <c r="AE14">
        <f t="shared" si="16"/>
        <v>2.4823549837014549</v>
      </c>
      <c r="AF14">
        <f t="shared" si="17"/>
        <v>1.0130662280421237</v>
      </c>
      <c r="AG14">
        <f t="shared" si="18"/>
        <v>19.933967525512973</v>
      </c>
      <c r="AH14">
        <f t="shared" si="19"/>
        <v>10.028164766325311</v>
      </c>
      <c r="AI14">
        <f t="shared" si="20"/>
        <v>39930.736015093717</v>
      </c>
    </row>
    <row r="15" spans="1:35" ht="15.75" thickBot="1" x14ac:dyDescent="0.3">
      <c r="A15" t="s">
        <v>64</v>
      </c>
      <c r="B15" t="s">
        <v>125</v>
      </c>
      <c r="C15" s="12">
        <v>1.23217</v>
      </c>
      <c r="D15" s="12">
        <v>-1.1140000000000001E-2</v>
      </c>
      <c r="E15" s="15">
        <f t="shared" si="0"/>
        <v>1.1140000000000001E-2</v>
      </c>
      <c r="F15">
        <v>1.5</v>
      </c>
      <c r="G15" s="12">
        <v>1.64055</v>
      </c>
      <c r="H15" s="12">
        <v>1.236</v>
      </c>
      <c r="I15" s="2">
        <f t="shared" si="21"/>
        <v>7.3100000000000005E-3</v>
      </c>
      <c r="J15" s="20">
        <f t="shared" si="1"/>
        <v>225.42544459644319</v>
      </c>
      <c r="K15" s="17">
        <f t="shared" si="2"/>
        <v>1776.3389608340517</v>
      </c>
      <c r="L15">
        <f t="shared" si="3"/>
        <v>8.8816948041702588</v>
      </c>
      <c r="M15">
        <v>2.5</v>
      </c>
      <c r="N15" s="20">
        <f t="shared" si="4"/>
        <v>0.28147780971106601</v>
      </c>
      <c r="O15" s="14">
        <v>0.30401</v>
      </c>
      <c r="P15" s="20">
        <f t="shared" si="5"/>
        <v>2.218522190288934</v>
      </c>
      <c r="Q15" s="14">
        <v>2.2258399999999998</v>
      </c>
      <c r="R15">
        <f t="shared" si="6"/>
        <v>2.5298499999999997</v>
      </c>
      <c r="S15">
        <f t="shared" si="7"/>
        <v>2.4762723551222514</v>
      </c>
      <c r="T15">
        <f t="shared" si="8"/>
        <v>1.0216364103758302</v>
      </c>
      <c r="U15">
        <f t="shared" si="9"/>
        <v>8.945239631575463</v>
      </c>
      <c r="V15">
        <f t="shared" si="10"/>
        <v>198.57924818065464</v>
      </c>
      <c r="W15">
        <f t="shared" si="11"/>
        <v>19.857924818065463</v>
      </c>
      <c r="X15">
        <f t="shared" si="12"/>
        <v>2016.4846209696225</v>
      </c>
      <c r="Y15">
        <v>2.5</v>
      </c>
      <c r="Z15" s="20">
        <f t="shared" si="13"/>
        <v>0.12589432294182426</v>
      </c>
      <c r="AA15" s="12">
        <v>0.12891</v>
      </c>
      <c r="AB15" s="20">
        <f t="shared" si="14"/>
        <v>2.3741056770581759</v>
      </c>
      <c r="AC15" s="12">
        <v>2.3786399999999999</v>
      </c>
      <c r="AD15">
        <f t="shared" si="15"/>
        <v>2.5075499999999997</v>
      </c>
      <c r="AE15">
        <f t="shared" si="16"/>
        <v>2.4766147020896172</v>
      </c>
      <c r="AF15">
        <f t="shared" si="17"/>
        <v>1.0124909611027832</v>
      </c>
      <c r="AG15">
        <f t="shared" si="18"/>
        <v>19.627645288393786</v>
      </c>
      <c r="AH15">
        <f t="shared" si="19"/>
        <v>10.117324073411826</v>
      </c>
      <c r="AI15">
        <f t="shared" si="20"/>
        <v>39578.844869892942</v>
      </c>
    </row>
    <row r="16" spans="1:35" ht="15.75" thickBot="1" x14ac:dyDescent="0.3">
      <c r="A16" t="s">
        <v>65</v>
      </c>
      <c r="B16" t="s">
        <v>129</v>
      </c>
      <c r="C16" s="12">
        <v>1.2331399999999999</v>
      </c>
      <c r="D16" s="12">
        <v>-1.1509999999999999E-2</v>
      </c>
      <c r="E16" s="15">
        <f t="shared" si="0"/>
        <v>1.1509999999999999E-2</v>
      </c>
      <c r="F16">
        <v>1.5</v>
      </c>
      <c r="G16" s="12">
        <v>1.6386400000000001</v>
      </c>
      <c r="H16" s="12">
        <v>1.2343999999999999</v>
      </c>
      <c r="I16" s="2">
        <f t="shared" si="21"/>
        <v>1.0249999999999961E-2</v>
      </c>
      <c r="J16" s="20">
        <f t="shared" si="1"/>
        <v>160.86731707317134</v>
      </c>
      <c r="K16" s="17">
        <f t="shared" si="2"/>
        <v>2489.2066784321482</v>
      </c>
      <c r="L16">
        <f t="shared" si="3"/>
        <v>12.446033392160741</v>
      </c>
      <c r="M16">
        <v>2.5</v>
      </c>
      <c r="N16" s="20">
        <f t="shared" si="4"/>
        <v>0.20086720975492883</v>
      </c>
      <c r="O16" s="14">
        <v>0.21837000000000001</v>
      </c>
      <c r="P16" s="20">
        <f t="shared" si="5"/>
        <v>2.2991327902450713</v>
      </c>
      <c r="Q16" s="14">
        <v>2.3124600000000002</v>
      </c>
      <c r="R16">
        <f t="shared" si="6"/>
        <v>2.5308300000000004</v>
      </c>
      <c r="S16">
        <f t="shared" si="7"/>
        <v>2.4838830878843785</v>
      </c>
      <c r="T16">
        <f t="shared" si="8"/>
        <v>1.0189006126514628</v>
      </c>
      <c r="U16">
        <f t="shared" si="9"/>
        <v>12.491644489236728</v>
      </c>
      <c r="V16">
        <f t="shared" si="10"/>
        <v>199.2697343073558</v>
      </c>
      <c r="W16">
        <f t="shared" si="11"/>
        <v>19.926973430735579</v>
      </c>
      <c r="X16">
        <f t="shared" si="12"/>
        <v>2009.4973348153783</v>
      </c>
      <c r="Y16">
        <v>2.5</v>
      </c>
      <c r="Z16" s="20">
        <f t="shared" si="13"/>
        <v>0.12545808869017575</v>
      </c>
      <c r="AA16" s="12">
        <v>0.12723999999999999</v>
      </c>
      <c r="AB16" s="20">
        <f t="shared" si="14"/>
        <v>2.3745419113098243</v>
      </c>
      <c r="AC16" s="12">
        <v>2.3931800000000001</v>
      </c>
      <c r="AD16">
        <f t="shared" si="15"/>
        <v>2.5204200000000001</v>
      </c>
      <c r="AE16">
        <f t="shared" si="16"/>
        <v>2.489682068756411</v>
      </c>
      <c r="AF16">
        <f t="shared" si="17"/>
        <v>1.0123461270936263</v>
      </c>
      <c r="AG16">
        <f t="shared" si="18"/>
        <v>19.936644020459514</v>
      </c>
      <c r="AH16">
        <f t="shared" si="19"/>
        <v>9.9951493392197754</v>
      </c>
      <c r="AI16">
        <f t="shared" si="20"/>
        <v>40062.633024276343</v>
      </c>
    </row>
    <row r="17" spans="1:35" ht="15.75" thickBot="1" x14ac:dyDescent="0.3">
      <c r="A17" t="s">
        <v>66</v>
      </c>
      <c r="B17" t="s">
        <v>130</v>
      </c>
      <c r="C17" s="12">
        <v>1.23271</v>
      </c>
      <c r="D17" s="12">
        <v>-1.1299999999999999E-2</v>
      </c>
      <c r="E17" s="15">
        <f t="shared" si="0"/>
        <v>1.1299999999999999E-2</v>
      </c>
      <c r="F17">
        <v>1.5</v>
      </c>
      <c r="G17" s="12">
        <v>1.64032</v>
      </c>
      <c r="H17" s="12">
        <v>1.2349699999999999</v>
      </c>
      <c r="I17" s="2">
        <f t="shared" si="21"/>
        <v>9.0400000000000705E-3</v>
      </c>
      <c r="J17" s="20">
        <f t="shared" si="1"/>
        <v>182.45132743362691</v>
      </c>
      <c r="K17" s="17">
        <f t="shared" si="2"/>
        <v>2194.7332783625334</v>
      </c>
      <c r="L17">
        <f t="shared" si="3"/>
        <v>10.973666391812667</v>
      </c>
      <c r="M17">
        <v>2.5</v>
      </c>
      <c r="N17" s="20">
        <f t="shared" si="4"/>
        <v>0.22781811572704841</v>
      </c>
      <c r="O17" s="14">
        <v>0.24676999999999999</v>
      </c>
      <c r="P17" s="20">
        <f t="shared" si="5"/>
        <v>2.2721818842729515</v>
      </c>
      <c r="Q17" s="14">
        <v>2.2822200000000001</v>
      </c>
      <c r="R17">
        <f t="shared" si="6"/>
        <v>2.5289900000000003</v>
      </c>
      <c r="S17">
        <f t="shared" si="7"/>
        <v>2.4798621639578382</v>
      </c>
      <c r="T17">
        <f t="shared" si="8"/>
        <v>1.0198107123678819</v>
      </c>
      <c r="U17">
        <f t="shared" si="9"/>
        <v>11.036125252091008</v>
      </c>
      <c r="V17">
        <f t="shared" si="10"/>
        <v>198.86810164162449</v>
      </c>
      <c r="W17">
        <f t="shared" si="11"/>
        <v>19.886810164162448</v>
      </c>
      <c r="X17">
        <f t="shared" si="12"/>
        <v>2013.5557019677749</v>
      </c>
      <c r="Y17">
        <v>2.5</v>
      </c>
      <c r="Z17" s="20">
        <f t="shared" si="13"/>
        <v>0.12571146299295355</v>
      </c>
      <c r="AA17" s="12">
        <v>0.12845000000000001</v>
      </c>
      <c r="AB17" s="20">
        <f t="shared" si="14"/>
        <v>2.3742885370070463</v>
      </c>
      <c r="AC17" s="12">
        <v>2.3947500000000002</v>
      </c>
      <c r="AD17">
        <f t="shared" si="15"/>
        <v>2.5232000000000001</v>
      </c>
      <c r="AE17">
        <f t="shared" si="16"/>
        <v>2.4923085016816571</v>
      </c>
      <c r="AF17">
        <f t="shared" si="17"/>
        <v>1.0123947329544072</v>
      </c>
      <c r="AG17">
        <f t="shared" si="18"/>
        <v>19.787332880813537</v>
      </c>
      <c r="AH17">
        <f t="shared" si="19"/>
        <v>10.050273214661168</v>
      </c>
      <c r="AI17">
        <f t="shared" si="20"/>
        <v>39842.896948896538</v>
      </c>
    </row>
    <row r="18" spans="1:35" ht="15.75" thickBot="1" x14ac:dyDescent="0.3">
      <c r="A18" t="s">
        <v>67</v>
      </c>
      <c r="B18" t="s">
        <v>131</v>
      </c>
      <c r="C18" s="12">
        <v>1.2304600000000001</v>
      </c>
      <c r="D18" s="12">
        <v>-1.1509999999999999E-2</v>
      </c>
      <c r="E18" s="15">
        <f t="shared" si="0"/>
        <v>1.1509999999999999E-2</v>
      </c>
      <c r="F18">
        <v>1.5</v>
      </c>
      <c r="G18" s="12">
        <v>1.6366700000000001</v>
      </c>
      <c r="H18" s="12">
        <v>1.23339</v>
      </c>
      <c r="I18" s="2">
        <f t="shared" si="21"/>
        <v>8.5800000000001223E-3</v>
      </c>
      <c r="J18" s="20">
        <f t="shared" si="1"/>
        <v>191.75407925407654</v>
      </c>
      <c r="K18" s="17">
        <f t="shared" si="2"/>
        <v>2088.2580519678154</v>
      </c>
      <c r="L18">
        <f t="shared" si="3"/>
        <v>10.441290259839077</v>
      </c>
      <c r="M18">
        <v>2.5</v>
      </c>
      <c r="N18" s="20">
        <f t="shared" si="4"/>
        <v>0.23943401033643236</v>
      </c>
      <c r="O18" s="14">
        <v>0.25851000000000002</v>
      </c>
      <c r="P18" s="20">
        <f t="shared" si="5"/>
        <v>2.2605659896635677</v>
      </c>
      <c r="Q18" s="14">
        <v>2.2787700000000002</v>
      </c>
      <c r="R18">
        <f t="shared" si="6"/>
        <v>2.53728</v>
      </c>
      <c r="S18">
        <f t="shared" si="7"/>
        <v>2.4871432934093374</v>
      </c>
      <c r="T18">
        <f t="shared" si="8"/>
        <v>1.0201583506360568</v>
      </c>
      <c r="U18">
        <f t="shared" si="9"/>
        <v>10.565861145882691</v>
      </c>
      <c r="V18">
        <f t="shared" si="10"/>
        <v>197.6420116765938</v>
      </c>
      <c r="W18">
        <f t="shared" si="11"/>
        <v>19.76420116765938</v>
      </c>
      <c r="X18">
        <f t="shared" si="12"/>
        <v>2026.0469755551576</v>
      </c>
      <c r="Y18">
        <v>2.5</v>
      </c>
      <c r="Z18" s="20">
        <f t="shared" si="13"/>
        <v>0.12649132534082924</v>
      </c>
      <c r="AA18" s="12">
        <v>0.12814</v>
      </c>
      <c r="AB18" s="20">
        <f t="shared" si="14"/>
        <v>2.3735086746591709</v>
      </c>
      <c r="AC18" s="12">
        <v>2.3944399999999999</v>
      </c>
      <c r="AD18">
        <f t="shared" si="15"/>
        <v>2.52258</v>
      </c>
      <c r="AE18">
        <f t="shared" si="16"/>
        <v>2.4916553817134548</v>
      </c>
      <c r="AF18">
        <f t="shared" si="17"/>
        <v>1.0124112742530547</v>
      </c>
      <c r="AG18">
        <f t="shared" si="18"/>
        <v>19.836764824116219</v>
      </c>
      <c r="AH18">
        <f t="shared" si="19"/>
        <v>9.963419611463749</v>
      </c>
      <c r="AI18">
        <f t="shared" si="20"/>
        <v>40190.217376699606</v>
      </c>
    </row>
    <row r="19" spans="1:35" ht="15.75" thickBot="1" x14ac:dyDescent="0.3">
      <c r="A19" t="s">
        <v>68</v>
      </c>
      <c r="B19" t="s">
        <v>126</v>
      </c>
      <c r="C19" s="12">
        <v>1.22644</v>
      </c>
      <c r="D19" s="12">
        <v>-1.107E-2</v>
      </c>
      <c r="E19" s="15">
        <f t="shared" si="0"/>
        <v>1.107E-2</v>
      </c>
      <c r="F19">
        <v>1.5</v>
      </c>
      <c r="G19" s="12">
        <v>1.63063</v>
      </c>
      <c r="H19" s="12">
        <v>1.2269399999999999</v>
      </c>
      <c r="I19" s="2">
        <f t="shared" si="21"/>
        <v>1.0570000000000055E-2</v>
      </c>
      <c r="J19" s="20">
        <f t="shared" si="1"/>
        <v>155.26963103121963</v>
      </c>
      <c r="K19" s="17">
        <f t="shared" si="2"/>
        <v>2578.9460394833181</v>
      </c>
      <c r="L19">
        <f t="shared" si="3"/>
        <v>12.894730197416591</v>
      </c>
      <c r="M19">
        <v>2.5</v>
      </c>
      <c r="N19" s="20">
        <f t="shared" si="4"/>
        <v>0.19387765092602444</v>
      </c>
      <c r="O19" s="14">
        <v>0.21165999999999999</v>
      </c>
      <c r="P19" s="20">
        <f t="shared" si="5"/>
        <v>2.3061223490739757</v>
      </c>
      <c r="Q19" s="14">
        <v>2.32274</v>
      </c>
      <c r="R19">
        <f t="shared" si="6"/>
        <v>2.5344000000000002</v>
      </c>
      <c r="S19">
        <f t="shared" si="7"/>
        <v>2.4879311924723391</v>
      </c>
      <c r="T19">
        <f t="shared" si="8"/>
        <v>1.0186776899892813</v>
      </c>
      <c r="U19">
        <f t="shared" si="9"/>
        <v>12.90865555878826</v>
      </c>
      <c r="V19">
        <f t="shared" si="10"/>
        <v>199.78424768856445</v>
      </c>
      <c r="W19">
        <f t="shared" si="11"/>
        <v>19.978424768856446</v>
      </c>
      <c r="X19">
        <f t="shared" si="12"/>
        <v>2004.3221857221554</v>
      </c>
      <c r="Y19">
        <v>2.5</v>
      </c>
      <c r="Z19" s="20">
        <f t="shared" si="13"/>
        <v>0.12513499081755175</v>
      </c>
      <c r="AA19" s="12">
        <v>0.127</v>
      </c>
      <c r="AB19" s="20">
        <f t="shared" si="14"/>
        <v>2.3748650091824484</v>
      </c>
      <c r="AC19" s="12">
        <v>2.4083299999999999</v>
      </c>
      <c r="AD19">
        <f t="shared" si="15"/>
        <v>2.5353300000000001</v>
      </c>
      <c r="AE19">
        <f t="shared" si="16"/>
        <v>2.504444153031876</v>
      </c>
      <c r="AF19">
        <f t="shared" si="17"/>
        <v>1.0123324159297917</v>
      </c>
      <c r="AG19">
        <f t="shared" si="18"/>
        <v>20.088357358406878</v>
      </c>
      <c r="AH19">
        <f t="shared" si="19"/>
        <v>9.9452754709660578</v>
      </c>
      <c r="AI19">
        <f t="shared" si="20"/>
        <v>40263.540328169816</v>
      </c>
    </row>
    <row r="20" spans="1:35" ht="15.75" thickBot="1" x14ac:dyDescent="0.3">
      <c r="A20" t="s">
        <v>69</v>
      </c>
      <c r="B20" t="s">
        <v>127</v>
      </c>
      <c r="C20" s="12">
        <v>1.2330399999999999</v>
      </c>
      <c r="D20" s="12">
        <v>-1.074E-2</v>
      </c>
      <c r="E20" s="15">
        <f t="shared" si="0"/>
        <v>1.074E-2</v>
      </c>
      <c r="F20">
        <v>1.5</v>
      </c>
      <c r="G20" s="12">
        <v>1.63415</v>
      </c>
      <c r="H20" s="12">
        <v>1.2332399999999999</v>
      </c>
      <c r="I20" s="2">
        <f t="shared" si="21"/>
        <v>1.0540000000000022E-2</v>
      </c>
      <c r="J20" s="20">
        <f t="shared" si="1"/>
        <v>156.04269449715338</v>
      </c>
      <c r="K20" s="17">
        <f t="shared" si="2"/>
        <v>2566.16947874676</v>
      </c>
      <c r="L20">
        <f t="shared" si="3"/>
        <v>12.8308473937338</v>
      </c>
      <c r="M20">
        <v>2.5</v>
      </c>
      <c r="N20" s="20">
        <f t="shared" si="4"/>
        <v>0.19484293774867317</v>
      </c>
      <c r="O20" s="14">
        <v>0.21296000000000001</v>
      </c>
      <c r="P20" s="20">
        <f t="shared" si="5"/>
        <v>2.3051570622513267</v>
      </c>
      <c r="Q20" s="14">
        <v>2.3222399999999999</v>
      </c>
      <c r="R20">
        <f t="shared" si="6"/>
        <v>2.5351999999999997</v>
      </c>
      <c r="S20">
        <f t="shared" si="7"/>
        <v>2.4886208765619342</v>
      </c>
      <c r="T20">
        <f t="shared" si="8"/>
        <v>1.0187168418768613</v>
      </c>
      <c r="U20">
        <f t="shared" si="9"/>
        <v>12.833412127349343</v>
      </c>
      <c r="V20">
        <f t="shared" si="10"/>
        <v>199.96003037087732</v>
      </c>
      <c r="W20">
        <f t="shared" si="11"/>
        <v>19.996003037087732</v>
      </c>
      <c r="X20">
        <f t="shared" si="12"/>
        <v>2002.5602079440366</v>
      </c>
      <c r="Y20">
        <v>2.5</v>
      </c>
      <c r="Z20" s="20">
        <f t="shared" si="13"/>
        <v>0.12502498601160977</v>
      </c>
      <c r="AA20" s="12">
        <v>0.12676000000000001</v>
      </c>
      <c r="AB20" s="20">
        <f t="shared" si="14"/>
        <v>2.3749750139883901</v>
      </c>
      <c r="AC20" s="12">
        <v>2.38646</v>
      </c>
      <c r="AD20">
        <f t="shared" si="15"/>
        <v>2.51322</v>
      </c>
      <c r="AE20">
        <f t="shared" si="16"/>
        <v>2.482593099164065</v>
      </c>
      <c r="AF20">
        <f t="shared" si="17"/>
        <v>1.0123366575240411</v>
      </c>
      <c r="AG20">
        <f t="shared" si="18"/>
        <v>19.951557286570729</v>
      </c>
      <c r="AH20">
        <f t="shared" si="19"/>
        <v>10.0222768327698</v>
      </c>
      <c r="AI20">
        <f t="shared" si="20"/>
        <v>39954.194708602437</v>
      </c>
    </row>
    <row r="21" spans="1:35" ht="15.75" thickBot="1" x14ac:dyDescent="0.3">
      <c r="A21" t="s">
        <v>70</v>
      </c>
      <c r="B21" t="s">
        <v>128</v>
      </c>
      <c r="C21" s="12">
        <v>1.22654</v>
      </c>
      <c r="D21" s="12">
        <v>-1.06E-2</v>
      </c>
      <c r="E21" s="15">
        <f t="shared" si="0"/>
        <v>1.06E-2</v>
      </c>
      <c r="F21">
        <v>1.5</v>
      </c>
      <c r="G21" s="12">
        <v>1.64063</v>
      </c>
      <c r="H21" s="12">
        <v>1.23268</v>
      </c>
      <c r="I21" s="2">
        <f t="shared" si="21"/>
        <v>4.4599999999999657E-3</v>
      </c>
      <c r="J21" s="20">
        <f t="shared" si="1"/>
        <v>368.85426008968892</v>
      </c>
      <c r="K21" s="17">
        <f t="shared" si="2"/>
        <v>1085.6103435070338</v>
      </c>
      <c r="L21">
        <f t="shared" si="3"/>
        <v>5.428051717535169</v>
      </c>
      <c r="M21">
        <v>2.5</v>
      </c>
      <c r="N21" s="20">
        <f t="shared" si="4"/>
        <v>0.46057040907031521</v>
      </c>
      <c r="O21" s="14">
        <v>0.50033000000000005</v>
      </c>
      <c r="P21" s="20">
        <f t="shared" si="5"/>
        <v>2.0394295909296849</v>
      </c>
      <c r="Q21" s="14">
        <v>2.0550299999999999</v>
      </c>
      <c r="R21">
        <f t="shared" si="6"/>
        <v>2.5553599999999999</v>
      </c>
      <c r="S21">
        <f t="shared" si="7"/>
        <v>2.4862530223729378</v>
      </c>
      <c r="T21">
        <f t="shared" si="8"/>
        <v>1.0277956334311882</v>
      </c>
      <c r="U21">
        <f t="shared" si="9"/>
        <v>5.4572043834468458</v>
      </c>
      <c r="V21">
        <f t="shared" si="10"/>
        <v>198.93158973484282</v>
      </c>
      <c r="W21">
        <f t="shared" si="11"/>
        <v>19.893158973484283</v>
      </c>
      <c r="X21">
        <f t="shared" si="12"/>
        <v>2012.9130850144934</v>
      </c>
      <c r="Y21">
        <v>2.5</v>
      </c>
      <c r="Z21" s="20">
        <f t="shared" si="13"/>
        <v>0.12567134276322156</v>
      </c>
      <c r="AA21" s="12">
        <v>0.12992999999999999</v>
      </c>
      <c r="AB21" s="20">
        <f t="shared" si="14"/>
        <v>2.3743286572367786</v>
      </c>
      <c r="AC21" s="12">
        <v>2.3916900000000001</v>
      </c>
      <c r="AD21">
        <f t="shared" si="15"/>
        <v>2.52162</v>
      </c>
      <c r="AE21">
        <f t="shared" si="16"/>
        <v>2.4897462216671187</v>
      </c>
      <c r="AF21">
        <f t="shared" si="17"/>
        <v>1.0128020189590001</v>
      </c>
      <c r="AG21">
        <f t="shared" si="18"/>
        <v>19.694837951060293</v>
      </c>
      <c r="AH21">
        <f t="shared" si="19"/>
        <v>10.100696955677826</v>
      </c>
      <c r="AI21">
        <f t="shared" si="20"/>
        <v>39643.997018929302</v>
      </c>
    </row>
    <row r="22" spans="1:35" ht="15.75" thickBot="1" x14ac:dyDescent="0.3">
      <c r="A22" t="s">
        <v>71</v>
      </c>
      <c r="B22" t="s">
        <v>132</v>
      </c>
      <c r="C22" s="12">
        <v>1.2285299999999999</v>
      </c>
      <c r="D22" s="12">
        <v>0</v>
      </c>
      <c r="E22" s="15">
        <f t="shared" si="0"/>
        <v>0</v>
      </c>
      <c r="F22">
        <v>1.5</v>
      </c>
      <c r="G22" s="12">
        <v>1.64628</v>
      </c>
      <c r="H22" s="12">
        <v>1.22855</v>
      </c>
      <c r="I22" s="2">
        <f t="shared" si="21"/>
        <v>-2.0000000000131024E-5</v>
      </c>
      <c r="J22" s="20" t="s">
        <v>100</v>
      </c>
      <c r="K22" s="17" t="s">
        <v>100</v>
      </c>
      <c r="L22">
        <v>10</v>
      </c>
      <c r="M22">
        <v>2.5</v>
      </c>
      <c r="N22">
        <f>M22/L22</f>
        <v>0.25</v>
      </c>
      <c r="O22" s="14">
        <v>0.27040999999999998</v>
      </c>
      <c r="P22" s="20">
        <f t="shared" si="5"/>
        <v>2.25</v>
      </c>
      <c r="Q22" s="14">
        <v>2.2682899999999999</v>
      </c>
      <c r="R22">
        <f t="shared" si="6"/>
        <v>2.5387</v>
      </c>
      <c r="S22">
        <f t="shared" si="7"/>
        <v>2.4876234754967346</v>
      </c>
      <c r="T22">
        <f t="shared" si="8"/>
        <v>1.0205322569940236</v>
      </c>
      <c r="U22">
        <f t="shared" si="9"/>
        <v>10.102836806296049</v>
      </c>
      <c r="V22" t="s">
        <v>100</v>
      </c>
      <c r="W22" t="s">
        <v>100</v>
      </c>
      <c r="X22" t="s">
        <v>100</v>
      </c>
      <c r="Y22" t="s">
        <v>100</v>
      </c>
      <c r="Z22" t="s">
        <v>100</v>
      </c>
      <c r="AA22" t="s">
        <v>100</v>
      </c>
      <c r="AB22" t="s">
        <v>100</v>
      </c>
      <c r="AC22" t="s">
        <v>100</v>
      </c>
      <c r="AD22" t="s">
        <v>100</v>
      </c>
      <c r="AE22" t="s">
        <v>100</v>
      </c>
      <c r="AF22" t="s">
        <v>100</v>
      </c>
      <c r="AG22" t="s">
        <v>100</v>
      </c>
      <c r="AH22" t="s">
        <v>100</v>
      </c>
      <c r="AI22" t="s">
        <v>100</v>
      </c>
    </row>
    <row r="25" spans="1:35" x14ac:dyDescent="0.25">
      <c r="O25">
        <f>N3+Z3</f>
        <v>0.34300001922117213</v>
      </c>
    </row>
    <row r="26" spans="1:35" x14ac:dyDescent="0.25">
      <c r="A26" t="s">
        <v>25</v>
      </c>
    </row>
    <row r="28" spans="1:35" x14ac:dyDescent="0.25">
      <c r="A28" t="s">
        <v>23</v>
      </c>
    </row>
    <row r="32" spans="1:35" x14ac:dyDescent="0.25">
      <c r="A32" t="s">
        <v>4</v>
      </c>
      <c r="C32">
        <v>40.043199999999999</v>
      </c>
      <c r="D32" t="s">
        <v>5</v>
      </c>
    </row>
    <row r="33" spans="1:6" x14ac:dyDescent="0.25">
      <c r="C33">
        <f>C32*10000</f>
        <v>400432</v>
      </c>
      <c r="D33" t="s">
        <v>6</v>
      </c>
    </row>
    <row r="35" spans="1:6" x14ac:dyDescent="0.25">
      <c r="A35" t="s">
        <v>9</v>
      </c>
      <c r="C35">
        <v>1.0982000000000001</v>
      </c>
      <c r="D35" t="s">
        <v>10</v>
      </c>
      <c r="F35" t="s">
        <v>11</v>
      </c>
    </row>
    <row r="36" spans="1:6" x14ac:dyDescent="0.25">
      <c r="A36" t="s">
        <v>12</v>
      </c>
      <c r="C36">
        <v>1.012</v>
      </c>
      <c r="D36" t="s">
        <v>10</v>
      </c>
    </row>
    <row r="37" spans="1:6" x14ac:dyDescent="0.25">
      <c r="A37" t="s">
        <v>13</v>
      </c>
      <c r="C37">
        <v>1.0027999999999999</v>
      </c>
      <c r="D37" t="s">
        <v>10</v>
      </c>
      <c r="F37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tabSelected="1" zoomScaleNormal="100" workbookViewId="0">
      <selection activeCell="B7" sqref="B7"/>
    </sheetView>
  </sheetViews>
  <sheetFormatPr defaultColWidth="8.85546875" defaultRowHeight="15" x14ac:dyDescent="0.25"/>
  <cols>
    <col min="2" max="2" width="21.5703125" customWidth="1"/>
    <col min="3" max="3" width="8.85546875" customWidth="1"/>
    <col min="6" max="6" width="15.42578125" bestFit="1" customWidth="1"/>
  </cols>
  <sheetData>
    <row r="1" spans="1:40" x14ac:dyDescent="0.25">
      <c r="C1" s="3" t="s">
        <v>34</v>
      </c>
      <c r="D1" s="3"/>
      <c r="E1" s="3"/>
      <c r="F1" s="3"/>
      <c r="G1" s="3"/>
      <c r="H1" s="3"/>
      <c r="I1" s="3"/>
      <c r="J1" s="3"/>
      <c r="K1" s="3"/>
      <c r="L1" s="3"/>
      <c r="M1" s="3"/>
      <c r="N1" s="5" t="s">
        <v>35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13" t="s">
        <v>46</v>
      </c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</row>
    <row r="2" spans="1:40" s="7" customFormat="1" ht="60.75" thickBot="1" x14ac:dyDescent="0.3">
      <c r="A2" s="7" t="s">
        <v>21</v>
      </c>
      <c r="B2" s="7" t="s">
        <v>112</v>
      </c>
      <c r="C2" s="7" t="s">
        <v>22</v>
      </c>
      <c r="D2" s="7" t="s">
        <v>24</v>
      </c>
      <c r="E2" s="7" t="s">
        <v>72</v>
      </c>
      <c r="F2" s="7" t="s">
        <v>93</v>
      </c>
      <c r="G2" s="7" t="s">
        <v>94</v>
      </c>
      <c r="H2" s="7" t="s">
        <v>28</v>
      </c>
      <c r="I2" s="7" t="s">
        <v>29</v>
      </c>
      <c r="J2" s="7" t="s">
        <v>101</v>
      </c>
      <c r="K2" s="7" t="s">
        <v>30</v>
      </c>
      <c r="L2" s="7" t="s">
        <v>31</v>
      </c>
      <c r="M2" s="7" t="s">
        <v>32</v>
      </c>
      <c r="N2" s="7" t="s">
        <v>33</v>
      </c>
      <c r="O2" s="7" t="s">
        <v>36</v>
      </c>
      <c r="P2" s="7" t="s">
        <v>105</v>
      </c>
      <c r="Q2" s="7" t="s">
        <v>37</v>
      </c>
      <c r="R2" s="7" t="s">
        <v>38</v>
      </c>
      <c r="S2" s="7" t="s">
        <v>39</v>
      </c>
      <c r="T2" s="7" t="s">
        <v>40</v>
      </c>
      <c r="U2" s="7" t="s">
        <v>41</v>
      </c>
      <c r="V2" s="7" t="s">
        <v>42</v>
      </c>
      <c r="W2" s="7" t="s">
        <v>43</v>
      </c>
      <c r="X2" s="7" t="s">
        <v>44</v>
      </c>
      <c r="Y2" s="7" t="s">
        <v>45</v>
      </c>
      <c r="Z2" s="7" t="s">
        <v>47</v>
      </c>
      <c r="AA2" s="7" t="s">
        <v>33</v>
      </c>
      <c r="AB2" s="7" t="s">
        <v>48</v>
      </c>
      <c r="AC2" s="7" t="s">
        <v>105</v>
      </c>
      <c r="AD2" s="7" t="s">
        <v>107</v>
      </c>
      <c r="AE2" s="7" t="s">
        <v>108</v>
      </c>
      <c r="AF2" s="7" t="s">
        <v>111</v>
      </c>
      <c r="AG2" s="7" t="s">
        <v>38</v>
      </c>
      <c r="AH2" s="7" t="s">
        <v>39</v>
      </c>
      <c r="AI2" s="7" t="s">
        <v>40</v>
      </c>
      <c r="AJ2" s="7" t="s">
        <v>41</v>
      </c>
      <c r="AK2" s="7" t="s">
        <v>42</v>
      </c>
      <c r="AL2" s="7" t="s">
        <v>43</v>
      </c>
      <c r="AM2" s="7" t="s">
        <v>50</v>
      </c>
      <c r="AN2" s="7" t="s">
        <v>51</v>
      </c>
    </row>
    <row r="3" spans="1:40" ht="15.75" thickBot="1" x14ac:dyDescent="0.3">
      <c r="A3" t="s">
        <v>73</v>
      </c>
      <c r="B3" t="s">
        <v>113</v>
      </c>
      <c r="C3" s="14">
        <v>1.23041</v>
      </c>
      <c r="D3" s="14">
        <v>-4.5900000000000003E-3</v>
      </c>
      <c r="E3" s="15">
        <f>-1*D3</f>
        <v>4.5900000000000003E-3</v>
      </c>
      <c r="F3" s="16">
        <f>((((E3*0.8)/'Acid vial stuff'!$B$36)*2)/'Acid vial stuff'!$B$45)*1000</f>
        <v>0.21085104235177468</v>
      </c>
      <c r="G3" s="12">
        <v>0.21051</v>
      </c>
      <c r="H3" s="12">
        <v>1.23142</v>
      </c>
      <c r="I3" s="2">
        <f>E3-(H3-C3)</f>
        <v>3.580000000000045E-3</v>
      </c>
      <c r="J3" s="2">
        <f>I3/E3</f>
        <v>0.77995642701526025</v>
      </c>
      <c r="K3">
        <f>(G3+I3)/I3</f>
        <v>59.801675977652899</v>
      </c>
      <c r="L3">
        <f>$C$33/K3</f>
        <v>6695.9996263254588</v>
      </c>
      <c r="M3">
        <f>L3/200</f>
        <v>33.479998131627298</v>
      </c>
      <c r="N3">
        <v>2.5</v>
      </c>
      <c r="O3" s="1">
        <f>N3/M3</f>
        <v>7.4671449806275339E-2</v>
      </c>
      <c r="P3" s="1"/>
      <c r="Q3" s="12">
        <v>7.2789999999999994E-2</v>
      </c>
      <c r="R3" s="20">
        <f>N3-O3</f>
        <v>2.4253285501937247</v>
      </c>
      <c r="S3" s="12">
        <v>2.4482599999999999</v>
      </c>
      <c r="T3">
        <f>Q3+S3</f>
        <v>2.5210499999999998</v>
      </c>
      <c r="U3">
        <f>(Q3/$C$37)+(S3/$C$36)</f>
        <v>2.4918160060920331</v>
      </c>
      <c r="V3">
        <f>T3/U3</f>
        <v>1.0117320034209969</v>
      </c>
      <c r="W3">
        <f>U3/(Q3/$C$37)</f>
        <v>34.328796413093706</v>
      </c>
      <c r="X3">
        <f>L3/W3</f>
        <v>195.05489052833403</v>
      </c>
      <c r="Y3">
        <f>X3/10</f>
        <v>19.505489052833404</v>
      </c>
      <c r="Z3">
        <f>W3*K3</f>
        <v>2052.9195597986427</v>
      </c>
      <c r="AA3">
        <v>2.5</v>
      </c>
      <c r="AB3">
        <f>AA3/Y3</f>
        <v>0.12816904991350858</v>
      </c>
      <c r="AC3" s="23">
        <f>AB3/2</f>
        <v>6.4084524956754291E-2</v>
      </c>
      <c r="AD3" s="32">
        <v>6.3930000000000001E-2</v>
      </c>
      <c r="AE3" s="34">
        <v>6.4350000000000004E-2</v>
      </c>
      <c r="AF3" s="33">
        <f>SUM(AD3:AE3)</f>
        <v>0.12828000000000001</v>
      </c>
      <c r="AG3" s="20">
        <f>AA3-AB3</f>
        <v>2.3718309500864914</v>
      </c>
      <c r="AH3" s="12">
        <v>2.39181</v>
      </c>
      <c r="AI3">
        <f>AF3+AH3</f>
        <v>2.5200900000000002</v>
      </c>
      <c r="AJ3">
        <f t="shared" ref="AJ3:AJ21" si="0">(AD3/V3)+(AH3/$C$36)</f>
        <v>2.4266372869046178</v>
      </c>
      <c r="AK3">
        <f>AI3/AJ3</f>
        <v>1.0385111996752465</v>
      </c>
      <c r="AL3">
        <f>AJ3/(AF3/V3)</f>
        <v>19.138654535828664</v>
      </c>
      <c r="AM3">
        <f>X3/AL3</f>
        <v>10.191672051093249</v>
      </c>
      <c r="AN3">
        <f>Z3*AL3</f>
        <v>39290.118244831676</v>
      </c>
    </row>
    <row r="4" spans="1:40" ht="15.75" thickBot="1" x14ac:dyDescent="0.3">
      <c r="A4" t="s">
        <v>74</v>
      </c>
      <c r="B4" t="s">
        <v>114</v>
      </c>
      <c r="C4" s="12">
        <v>1.2295100000000001</v>
      </c>
      <c r="D4" s="12">
        <v>-9.9600000000000001E-3</v>
      </c>
      <c r="E4" s="15">
        <f t="shared" ref="E4:E22" si="1">-1*D4</f>
        <v>9.9600000000000001E-3</v>
      </c>
      <c r="F4" s="16">
        <f>((((E4*0.8)/'Acid vial stuff'!$B$36)*2)/'Acid vial stuff'!$B$45)*1000</f>
        <v>0.4575329807894718</v>
      </c>
      <c r="G4" s="12">
        <v>0.45426</v>
      </c>
      <c r="H4" s="12">
        <v>1.23281</v>
      </c>
      <c r="I4" s="2">
        <f t="shared" ref="I4:I22" si="2">E4-(H4-C4)</f>
        <v>6.6600000000001415E-3</v>
      </c>
      <c r="J4" s="2">
        <f t="shared" ref="J4:J21" si="3">I4/E4</f>
        <v>0.66867469879519492</v>
      </c>
      <c r="K4">
        <f t="shared" ref="K4:K21" si="4">(G4+I4)/I4</f>
        <v>69.207207207205755</v>
      </c>
      <c r="L4">
        <f t="shared" ref="L4:L21" si="5">$C$33/K4</f>
        <v>5785.9869825567475</v>
      </c>
      <c r="M4">
        <f t="shared" ref="M4:M21" si="6">L4/200</f>
        <v>28.929934912783736</v>
      </c>
      <c r="N4">
        <v>2.5</v>
      </c>
      <c r="O4" s="1">
        <f t="shared" ref="O4:O21" si="7">N4/M4</f>
        <v>8.6415680074526713E-2</v>
      </c>
      <c r="P4" s="1"/>
      <c r="Q4" s="12">
        <v>8.6180000000000007E-2</v>
      </c>
      <c r="R4" s="20">
        <f t="shared" ref="R4:R22" si="8">N4-O4</f>
        <v>2.4135843199254734</v>
      </c>
      <c r="S4" s="12">
        <v>2.4352</v>
      </c>
      <c r="T4">
        <f t="shared" ref="T4:T22" si="9">Q4+S4</f>
        <v>2.5213800000000002</v>
      </c>
      <c r="U4">
        <f t="shared" ref="U4:U22" si="10">(Q4/$C$37)+(S4/$C$36)</f>
        <v>2.4922634804365957</v>
      </c>
      <c r="V4">
        <f t="shared" ref="V4:V22" si="11">T4/U4</f>
        <v>1.0116827613901818</v>
      </c>
      <c r="W4">
        <f t="shared" ref="W4:W22" si="12">U4/(Q4/$C$37)</f>
        <v>29.000253169898098</v>
      </c>
      <c r="X4">
        <f t="shared" ref="X4:X21" si="13">L4/W4</f>
        <v>199.51505073626495</v>
      </c>
      <c r="Y4">
        <f t="shared" ref="Y4:Y21" si="14">X4/10</f>
        <v>19.951505073626496</v>
      </c>
      <c r="Z4">
        <f t="shared" ref="Z4:Z21" si="15">W4*K4</f>
        <v>2007.0265301905631</v>
      </c>
      <c r="AA4">
        <v>2.5</v>
      </c>
      <c r="AB4">
        <f t="shared" ref="AB4:AB21" si="16">AA4/Y4</f>
        <v>0.12530383000050963</v>
      </c>
      <c r="AC4" s="23">
        <f t="shared" ref="AC4:AC21" si="17">AB4/2</f>
        <v>6.2651915000254813E-2</v>
      </c>
      <c r="AD4" s="32">
        <v>6.1699999999999998E-2</v>
      </c>
      <c r="AE4" s="35">
        <v>5.9330000000000001E-2</v>
      </c>
      <c r="AF4" s="33">
        <f t="shared" ref="AF4:AF21" si="18">SUM(AD4:AE4)</f>
        <v>0.12103</v>
      </c>
      <c r="AG4" s="20">
        <f t="shared" ref="AG4:AG21" si="19">AA4-AB4</f>
        <v>2.3746961699994902</v>
      </c>
      <c r="AH4" s="12">
        <v>2.3923100000000002</v>
      </c>
      <c r="AI4">
        <f>AF4+AH4</f>
        <v>2.5133400000000004</v>
      </c>
      <c r="AJ4">
        <f t="shared" si="0"/>
        <v>2.4249301853645853</v>
      </c>
      <c r="AK4">
        <f t="shared" ref="AK4:AK21" si="20">AI4/AJ4</f>
        <v>1.0364587051491227</v>
      </c>
      <c r="AL4">
        <f t="shared" ref="AL4:AL21" si="21">AJ4/(AF4/V4)</f>
        <v>20.269850996513664</v>
      </c>
      <c r="AM4">
        <f t="shared" ref="AM4:AM21" si="22">X4/AL4</f>
        <v>9.8429460961790376</v>
      </c>
      <c r="AN4">
        <f t="shared" ref="AN4:AN21" si="23">Z4*AL4</f>
        <v>40682.128713012549</v>
      </c>
    </row>
    <row r="5" spans="1:40" ht="15.75" thickBot="1" x14ac:dyDescent="0.3">
      <c r="A5" t="s">
        <v>75</v>
      </c>
      <c r="B5" t="s">
        <v>115</v>
      </c>
      <c r="C5" s="12">
        <v>1.2377800000000001</v>
      </c>
      <c r="D5" s="12">
        <v>-1.093E-2</v>
      </c>
      <c r="E5" s="15">
        <f t="shared" si="1"/>
        <v>1.093E-2</v>
      </c>
      <c r="F5" s="16">
        <f>((((E5*0.8)/'Acid vial stuff'!$B$36)*2)/'Acid vial stuff'!$B$45)*1000</f>
        <v>0.50209191566555489</v>
      </c>
      <c r="G5" s="12">
        <v>0.50158999999999998</v>
      </c>
      <c r="H5" s="12">
        <v>1.24011</v>
      </c>
      <c r="I5" s="2">
        <f t="shared" si="2"/>
        <v>8.6000000000000573E-3</v>
      </c>
      <c r="J5" s="2">
        <f t="shared" si="3"/>
        <v>0.78682525160110306</v>
      </c>
      <c r="K5">
        <f t="shared" si="4"/>
        <v>59.324418604650774</v>
      </c>
      <c r="L5">
        <f t="shared" si="5"/>
        <v>6749.8680883592833</v>
      </c>
      <c r="M5">
        <f t="shared" si="6"/>
        <v>33.74934044179642</v>
      </c>
      <c r="N5">
        <v>2.5</v>
      </c>
      <c r="O5" s="1">
        <f>N5/M5</f>
        <v>7.4075521692385682E-2</v>
      </c>
      <c r="P5" s="1"/>
      <c r="Q5" s="12">
        <v>7.4099999999999999E-2</v>
      </c>
      <c r="R5" s="20">
        <f t="shared" si="8"/>
        <v>2.4259244783076142</v>
      </c>
      <c r="S5" s="12">
        <v>2.43946</v>
      </c>
      <c r="T5">
        <f t="shared" si="9"/>
        <v>2.51356</v>
      </c>
      <c r="U5">
        <f t="shared" si="10"/>
        <v>2.4844266961598431</v>
      </c>
      <c r="V5">
        <f t="shared" si="11"/>
        <v>1.0117263688581306</v>
      </c>
      <c r="W5">
        <f t="shared" si="12"/>
        <v>33.621904060851421</v>
      </c>
      <c r="X5">
        <f t="shared" si="13"/>
        <v>200.75805570508055</v>
      </c>
      <c r="Y5">
        <f t="shared" si="14"/>
        <v>20.075805570508056</v>
      </c>
      <c r="Z5">
        <f t="shared" si="15"/>
        <v>1994.5999107913574</v>
      </c>
      <c r="AA5">
        <v>2.5</v>
      </c>
      <c r="AB5">
        <f t="shared" si="16"/>
        <v>0.12452800417994549</v>
      </c>
      <c r="AC5" s="23">
        <f t="shared" si="17"/>
        <v>6.2264002089972743E-2</v>
      </c>
      <c r="AD5" s="32">
        <v>6.2109999999999999E-2</v>
      </c>
      <c r="AE5" s="35">
        <v>6.2489999999999997E-2</v>
      </c>
      <c r="AF5" s="33">
        <f t="shared" si="18"/>
        <v>0.12459999999999999</v>
      </c>
      <c r="AG5" s="20">
        <f t="shared" si="19"/>
        <v>2.3754719958200545</v>
      </c>
      <c r="AH5" s="12">
        <v>2.3962599999999998</v>
      </c>
      <c r="AI5">
        <f t="shared" ref="AI5:AI21" si="24">AF5+AH5</f>
        <v>2.5208599999999999</v>
      </c>
      <c r="AJ5">
        <f t="shared" si="0"/>
        <v>2.4292359666479961</v>
      </c>
      <c r="AK5">
        <f t="shared" si="20"/>
        <v>1.0377172224559279</v>
      </c>
      <c r="AL5">
        <f t="shared" si="21"/>
        <v>19.724896337370371</v>
      </c>
      <c r="AM5">
        <f t="shared" si="22"/>
        <v>10.177901686850875</v>
      </c>
      <c r="AN5">
        <f t="shared" si="23"/>
        <v>39343.276474887716</v>
      </c>
    </row>
    <row r="6" spans="1:40" ht="15.75" thickBot="1" x14ac:dyDescent="0.3">
      <c r="A6" t="s">
        <v>76</v>
      </c>
      <c r="B6" t="s">
        <v>116</v>
      </c>
      <c r="C6" s="12">
        <v>1.22654</v>
      </c>
      <c r="D6" s="12">
        <v>-1.0999999999999999E-2</v>
      </c>
      <c r="E6" s="15">
        <f t="shared" si="1"/>
        <v>1.0999999999999999E-2</v>
      </c>
      <c r="F6" s="16">
        <f>((((E6*0.8)/'Acid vial stuff'!$B$36)*2)/'Acid vial stuff'!$B$45)*1000</f>
        <v>0.5053075089040352</v>
      </c>
      <c r="G6" s="12">
        <v>0.50456000000000001</v>
      </c>
      <c r="H6" s="12">
        <v>1.22902</v>
      </c>
      <c r="I6" s="2">
        <f t="shared" si="2"/>
        <v>8.5199999999999616E-3</v>
      </c>
      <c r="J6" s="2">
        <f t="shared" si="3"/>
        <v>0.7745454545454511</v>
      </c>
      <c r="K6">
        <f t="shared" si="4"/>
        <v>60.220657276995574</v>
      </c>
      <c r="L6">
        <f t="shared" si="5"/>
        <v>6649.412645201498</v>
      </c>
      <c r="M6">
        <f t="shared" si="6"/>
        <v>33.247063226007491</v>
      </c>
      <c r="N6">
        <v>2.5</v>
      </c>
      <c r="O6" s="1">
        <f t="shared" si="7"/>
        <v>7.5194611415915283E-2</v>
      </c>
      <c r="P6" s="1"/>
      <c r="Q6" s="12">
        <v>7.5200000000000003E-2</v>
      </c>
      <c r="R6" s="20">
        <f t="shared" si="8"/>
        <v>2.4248053885840846</v>
      </c>
      <c r="S6" s="12">
        <v>2.4405100000000002</v>
      </c>
      <c r="T6">
        <f t="shared" si="9"/>
        <v>2.5157100000000003</v>
      </c>
      <c r="U6">
        <f t="shared" si="10"/>
        <v>2.4865611741668783</v>
      </c>
      <c r="V6">
        <f t="shared" si="11"/>
        <v>1.0117225452307195</v>
      </c>
      <c r="W6">
        <f t="shared" si="12"/>
        <v>33.158557785299806</v>
      </c>
      <c r="X6">
        <f t="shared" si="13"/>
        <v>200.5338316659051</v>
      </c>
      <c r="Y6">
        <f t="shared" si="14"/>
        <v>20.05338316659051</v>
      </c>
      <c r="Z6">
        <f t="shared" si="15"/>
        <v>1996.830144187993</v>
      </c>
      <c r="AA6">
        <v>2.5</v>
      </c>
      <c r="AB6">
        <f t="shared" si="16"/>
        <v>0.12466724338888956</v>
      </c>
      <c r="AC6" s="23">
        <f t="shared" si="17"/>
        <v>6.2333621694444778E-2</v>
      </c>
      <c r="AD6" s="32">
        <v>6.2239999999999997E-2</v>
      </c>
      <c r="AE6" s="35">
        <v>6.148E-2</v>
      </c>
      <c r="AF6" s="33">
        <f t="shared" si="18"/>
        <v>0.12372</v>
      </c>
      <c r="AG6" s="20">
        <f t="shared" si="19"/>
        <v>2.3753327566111104</v>
      </c>
      <c r="AH6" s="12">
        <v>2.3921899999999998</v>
      </c>
      <c r="AI6">
        <f>AF6+AH6</f>
        <v>2.5159099999999999</v>
      </c>
      <c r="AJ6">
        <f t="shared" si="0"/>
        <v>2.4253429532571893</v>
      </c>
      <c r="AK6">
        <f t="shared" si="20"/>
        <v>1.0373419547207461</v>
      </c>
      <c r="AL6">
        <f t="shared" si="21"/>
        <v>19.833286014603569</v>
      </c>
      <c r="AM6">
        <f t="shared" si="22"/>
        <v>10.110973618705886</v>
      </c>
      <c r="AN6">
        <f t="shared" si="23"/>
        <v>39603.703372262549</v>
      </c>
    </row>
    <row r="7" spans="1:40" ht="15.75" thickBot="1" x14ac:dyDescent="0.3">
      <c r="A7" t="s">
        <v>77</v>
      </c>
      <c r="B7" t="s">
        <v>117</v>
      </c>
      <c r="C7" s="12">
        <v>1.22668</v>
      </c>
      <c r="D7" s="12">
        <v>-1.0540000000000001E-2</v>
      </c>
      <c r="E7" s="15">
        <f t="shared" si="1"/>
        <v>1.0540000000000001E-2</v>
      </c>
      <c r="F7" s="16">
        <f>((((E7*0.8)/'Acid vial stuff'!$B$36)*2)/'Acid vial stuff'!$B$45)*1000</f>
        <v>0.4841764676225937</v>
      </c>
      <c r="G7" s="12">
        <v>0.48419000000000001</v>
      </c>
      <c r="H7" s="12">
        <v>1.22905</v>
      </c>
      <c r="I7" s="2">
        <f t="shared" si="2"/>
        <v>8.1700000000000175E-3</v>
      </c>
      <c r="J7" s="2">
        <f t="shared" si="3"/>
        <v>0.77514231499051389</v>
      </c>
      <c r="K7">
        <f t="shared" si="4"/>
        <v>60.264381884944797</v>
      </c>
      <c r="L7">
        <f t="shared" si="5"/>
        <v>6644.5881875050909</v>
      </c>
      <c r="M7">
        <f t="shared" si="6"/>
        <v>33.222940937525458</v>
      </c>
      <c r="N7">
        <v>2.5</v>
      </c>
      <c r="O7" s="1">
        <f t="shared" si="7"/>
        <v>7.5249208211312771E-2</v>
      </c>
      <c r="P7" s="1"/>
      <c r="Q7" s="12">
        <v>7.5090000000000004E-2</v>
      </c>
      <c r="R7" s="20">
        <f t="shared" si="8"/>
        <v>2.424750791788687</v>
      </c>
      <c r="S7" s="12">
        <v>2.43879</v>
      </c>
      <c r="T7">
        <f t="shared" si="9"/>
        <v>2.5138799999999999</v>
      </c>
      <c r="U7">
        <f t="shared" si="10"/>
        <v>2.4847518765638035</v>
      </c>
      <c r="V7">
        <f t="shared" si="11"/>
        <v>1.011722749346095</v>
      </c>
      <c r="W7">
        <f t="shared" si="12"/>
        <v>33.182969527476118</v>
      </c>
      <c r="X7">
        <f t="shared" si="13"/>
        <v>200.24091520812348</v>
      </c>
      <c r="Y7">
        <f t="shared" si="14"/>
        <v>20.024091520812348</v>
      </c>
      <c r="Z7">
        <f t="shared" si="15"/>
        <v>1999.751147680307</v>
      </c>
      <c r="AA7">
        <v>2.5</v>
      </c>
      <c r="AB7">
        <f t="shared" si="16"/>
        <v>0.12484960915213489</v>
      </c>
      <c r="AC7" s="23">
        <f t="shared" si="17"/>
        <v>6.2424804576067444E-2</v>
      </c>
      <c r="AD7" s="32">
        <v>6.2330000000000003E-2</v>
      </c>
      <c r="AE7" s="35">
        <v>6.2630000000000005E-2</v>
      </c>
      <c r="AF7" s="33">
        <f t="shared" si="18"/>
        <v>0.12496000000000002</v>
      </c>
      <c r="AG7" s="20">
        <f t="shared" si="19"/>
        <v>2.3751503908478653</v>
      </c>
      <c r="AH7" s="12">
        <v>2.4050099999999999</v>
      </c>
      <c r="AI7">
        <f t="shared" si="24"/>
        <v>2.5299700000000001</v>
      </c>
      <c r="AJ7">
        <f t="shared" si="0"/>
        <v>2.4380998822127755</v>
      </c>
      <c r="AK7">
        <f t="shared" si="20"/>
        <v>1.0376810312233167</v>
      </c>
      <c r="AL7">
        <f t="shared" si="21"/>
        <v>19.739765653110588</v>
      </c>
      <c r="AM7">
        <f t="shared" si="22"/>
        <v>10.144037103934391</v>
      </c>
      <c r="AN7">
        <f t="shared" si="23"/>
        <v>39474.619019748206</v>
      </c>
    </row>
    <row r="8" spans="1:40" ht="15.75" thickBot="1" x14ac:dyDescent="0.3">
      <c r="A8" t="s">
        <v>78</v>
      </c>
      <c r="B8" t="s">
        <v>118</v>
      </c>
      <c r="C8" s="12">
        <v>1.23088</v>
      </c>
      <c r="D8" s="12">
        <v>-1.03E-2</v>
      </c>
      <c r="E8" s="15">
        <f t="shared" si="1"/>
        <v>1.03E-2</v>
      </c>
      <c r="F8" s="16">
        <f>((((E8*0.8)/'Acid vial stuff'!$B$36)*2)/'Acid vial stuff'!$B$45)*1000</f>
        <v>0.47315157651923295</v>
      </c>
      <c r="G8" s="12">
        <v>0.47248000000000001</v>
      </c>
      <c r="H8" s="12">
        <v>1.2326600000000001</v>
      </c>
      <c r="I8" s="2">
        <f t="shared" si="2"/>
        <v>8.5199999999998853E-3</v>
      </c>
      <c r="J8" s="2">
        <f t="shared" si="3"/>
        <v>0.82718446601940632</v>
      </c>
      <c r="K8">
        <f t="shared" si="4"/>
        <v>56.45539906103361</v>
      </c>
      <c r="L8">
        <f t="shared" si="5"/>
        <v>7092.8911434510501</v>
      </c>
      <c r="M8">
        <f>L8/200</f>
        <v>35.464455717255248</v>
      </c>
      <c r="N8">
        <v>2.5</v>
      </c>
      <c r="O8" s="1">
        <f t="shared" si="7"/>
        <v>7.0493116260730418E-2</v>
      </c>
      <c r="P8" s="1"/>
      <c r="Q8" s="12">
        <v>7.0809999999999998E-2</v>
      </c>
      <c r="R8" s="20">
        <f t="shared" si="8"/>
        <v>2.4295068837392697</v>
      </c>
      <c r="S8" s="12">
        <v>2.4235799999999998</v>
      </c>
      <c r="T8">
        <f t="shared" si="9"/>
        <v>2.4943899999999997</v>
      </c>
      <c r="U8">
        <f t="shared" si="10"/>
        <v>2.4654541828335206</v>
      </c>
      <c r="V8">
        <f t="shared" si="11"/>
        <v>1.0117365057391672</v>
      </c>
      <c r="W8">
        <f t="shared" si="12"/>
        <v>34.915371480658862</v>
      </c>
      <c r="X8">
        <f t="shared" si="13"/>
        <v>203.14522924036797</v>
      </c>
      <c r="Y8">
        <f t="shared" si="14"/>
        <v>20.314522924036797</v>
      </c>
      <c r="Z8">
        <f t="shared" si="15"/>
        <v>1971.161230304828</v>
      </c>
      <c r="AA8">
        <v>2.5</v>
      </c>
      <c r="AB8">
        <f t="shared" si="16"/>
        <v>0.12306466705363381</v>
      </c>
      <c r="AC8" s="23">
        <f t="shared" si="17"/>
        <v>6.1532333526816904E-2</v>
      </c>
      <c r="AD8" s="32">
        <v>6.1269999999999998E-2</v>
      </c>
      <c r="AE8" s="35">
        <v>6.1679999999999999E-2</v>
      </c>
      <c r="AF8" s="33">
        <f t="shared" si="18"/>
        <v>0.12295</v>
      </c>
      <c r="AG8" s="20">
        <f t="shared" si="19"/>
        <v>2.3769353329463661</v>
      </c>
      <c r="AH8" s="12">
        <v>2.4073600000000002</v>
      </c>
      <c r="AI8">
        <f t="shared" si="24"/>
        <v>2.5303100000000001</v>
      </c>
      <c r="AJ8">
        <f t="shared" si="0"/>
        <v>2.4393734753100569</v>
      </c>
      <c r="AK8">
        <f t="shared" si="20"/>
        <v>1.0372786396221614</v>
      </c>
      <c r="AL8">
        <f t="shared" si="21"/>
        <v>20.073226483147664</v>
      </c>
      <c r="AM8">
        <f t="shared" si="22"/>
        <v>10.120208099625494</v>
      </c>
      <c r="AN8">
        <f t="shared" si="23"/>
        <v>39567.565810708802</v>
      </c>
    </row>
    <row r="9" spans="1:40" ht="15.75" thickBot="1" x14ac:dyDescent="0.3">
      <c r="A9" t="s">
        <v>79</v>
      </c>
      <c r="B9" t="s">
        <v>119</v>
      </c>
      <c r="C9" s="12">
        <v>1.2286600000000001</v>
      </c>
      <c r="D9" s="12">
        <v>-1.158E-2</v>
      </c>
      <c r="E9" s="15">
        <f t="shared" si="1"/>
        <v>1.158E-2</v>
      </c>
      <c r="F9" s="16">
        <f>((((E9*0.8)/'Acid vial stuff'!$B$36)*2)/'Acid vial stuff'!$B$45)*1000</f>
        <v>0.53195099573715698</v>
      </c>
      <c r="G9" s="12">
        <v>0.53154000000000001</v>
      </c>
      <c r="H9" s="12">
        <v>1.2310099999999999</v>
      </c>
      <c r="I9" s="2">
        <f t="shared" si="2"/>
        <v>9.2300000000001478E-3</v>
      </c>
      <c r="J9" s="2">
        <f t="shared" si="3"/>
        <v>0.79706390328153265</v>
      </c>
      <c r="K9">
        <f t="shared" si="4"/>
        <v>58.588299024917823</v>
      </c>
      <c r="L9">
        <f t="shared" si="5"/>
        <v>6834.6752963368126</v>
      </c>
      <c r="M9">
        <f t="shared" si="6"/>
        <v>34.173376481684066</v>
      </c>
      <c r="N9">
        <v>2.5</v>
      </c>
      <c r="O9" s="1">
        <f t="shared" si="7"/>
        <v>7.3156364907047661E-2</v>
      </c>
      <c r="P9" s="1"/>
      <c r="Q9" s="12">
        <v>7.3130000000000001E-2</v>
      </c>
      <c r="R9" s="20">
        <f t="shared" si="8"/>
        <v>2.4268436350929523</v>
      </c>
      <c r="S9" s="12">
        <v>2.4482900000000001</v>
      </c>
      <c r="T9">
        <f t="shared" si="9"/>
        <v>2.52142</v>
      </c>
      <c r="U9">
        <f t="shared" si="10"/>
        <v>2.4921847010189651</v>
      </c>
      <c r="V9">
        <f t="shared" si="11"/>
        <v>1.0117307914493985</v>
      </c>
      <c r="W9">
        <f t="shared" si="12"/>
        <v>34.174248847009679</v>
      </c>
      <c r="X9">
        <f t="shared" si="13"/>
        <v>199.99489460424121</v>
      </c>
      <c r="Y9">
        <f t="shared" si="14"/>
        <v>19.999489460424122</v>
      </c>
      <c r="Z9">
        <f t="shared" si="15"/>
        <v>2002.2111104005562</v>
      </c>
      <c r="AA9">
        <v>2.5</v>
      </c>
      <c r="AB9">
        <f t="shared" si="16"/>
        <v>0.12500319095380463</v>
      </c>
      <c r="AC9" s="23">
        <f t="shared" si="17"/>
        <v>6.2501595476902316E-2</v>
      </c>
      <c r="AD9" s="32">
        <v>6.2289999999999998E-2</v>
      </c>
      <c r="AE9" s="35">
        <v>6.2729999999999994E-2</v>
      </c>
      <c r="AF9" s="33">
        <f t="shared" si="18"/>
        <v>0.12501999999999999</v>
      </c>
      <c r="AG9" s="20">
        <f t="shared" si="19"/>
        <v>2.3749968090461953</v>
      </c>
      <c r="AH9" s="12">
        <v>2.4020999999999999</v>
      </c>
      <c r="AI9">
        <f t="shared" si="24"/>
        <v>2.52712</v>
      </c>
      <c r="AJ9">
        <f t="shared" si="0"/>
        <v>2.4351843622211642</v>
      </c>
      <c r="AK9">
        <f t="shared" si="20"/>
        <v>1.0377530503255121</v>
      </c>
      <c r="AL9">
        <f t="shared" si="21"/>
        <v>19.706854920134518</v>
      </c>
      <c r="AM9">
        <f t="shared" si="22"/>
        <v>10.148493781212455</v>
      </c>
      <c r="AN9">
        <f t="shared" si="23"/>
        <v>39457.283872145199</v>
      </c>
    </row>
    <row r="10" spans="1:40" ht="15.75" thickBot="1" x14ac:dyDescent="0.3">
      <c r="A10" t="s">
        <v>80</v>
      </c>
      <c r="B10" t="s">
        <v>120</v>
      </c>
      <c r="C10" s="12">
        <v>1.2301800000000001</v>
      </c>
      <c r="D10" s="12">
        <v>-1.0279999999999999E-2</v>
      </c>
      <c r="E10" s="15">
        <f t="shared" si="1"/>
        <v>1.0279999999999999E-2</v>
      </c>
      <c r="F10" s="16">
        <f>((((E10*0.8)/'Acid vial stuff'!$B$36)*2)/'Acid vial stuff'!$B$45)*1000</f>
        <v>0.47223283559395285</v>
      </c>
      <c r="G10" s="12">
        <v>0.47127999999999998</v>
      </c>
      <c r="H10" s="12">
        <v>1.2380500000000001</v>
      </c>
      <c r="I10" s="2">
        <f t="shared" si="2"/>
        <v>2.4099999999999556E-3</v>
      </c>
      <c r="J10" s="2">
        <f t="shared" si="3"/>
        <v>0.23443579766536535</v>
      </c>
      <c r="K10">
        <f t="shared" si="4"/>
        <v>196.55186721992061</v>
      </c>
      <c r="L10">
        <f t="shared" si="5"/>
        <v>2037.2841309716953</v>
      </c>
      <c r="M10">
        <f t="shared" si="6"/>
        <v>10.186420654858477</v>
      </c>
      <c r="N10">
        <v>2.5</v>
      </c>
      <c r="O10" s="1">
        <f t="shared" si="7"/>
        <v>0.24542477526761172</v>
      </c>
      <c r="P10" s="21">
        <f>O10/3</f>
        <v>8.1808258422537236E-2</v>
      </c>
      <c r="Q10" s="12">
        <f>O28+P28</f>
        <v>0.24613000000000002</v>
      </c>
      <c r="R10" s="20">
        <f t="shared" si="8"/>
        <v>2.2545752247323883</v>
      </c>
      <c r="S10" s="12">
        <v>2.2840600000000002</v>
      </c>
      <c r="T10">
        <f t="shared" si="9"/>
        <v>2.5301900000000002</v>
      </c>
      <c r="U10">
        <f t="shared" si="10"/>
        <v>2.5024190448562207</v>
      </c>
      <c r="V10">
        <f t="shared" si="11"/>
        <v>1.0110976437782726</v>
      </c>
      <c r="W10">
        <f t="shared" si="12"/>
        <v>10.195530078339974</v>
      </c>
      <c r="X10">
        <f t="shared" si="13"/>
        <v>199.82130554445914</v>
      </c>
      <c r="Y10">
        <f t="shared" si="14"/>
        <v>19.982130554445913</v>
      </c>
      <c r="Z10">
        <f t="shared" si="15"/>
        <v>2003.9504741945855</v>
      </c>
      <c r="AA10">
        <v>2.5</v>
      </c>
      <c r="AB10">
        <f t="shared" si="16"/>
        <v>0.1251117839105382</v>
      </c>
      <c r="AC10" s="23">
        <f t="shared" si="17"/>
        <v>6.2555891955269102E-2</v>
      </c>
      <c r="AD10" s="32">
        <v>6.2480000000000001E-2</v>
      </c>
      <c r="AE10" s="35">
        <v>6.2820000000000001E-2</v>
      </c>
      <c r="AF10" s="33">
        <f t="shared" si="18"/>
        <v>0.12529999999999999</v>
      </c>
      <c r="AG10" s="20">
        <f t="shared" si="19"/>
        <v>2.3748882160894618</v>
      </c>
      <c r="AH10" s="12">
        <v>2.3841399999999999</v>
      </c>
      <c r="AI10">
        <f t="shared" si="24"/>
        <v>2.5094400000000001</v>
      </c>
      <c r="AJ10">
        <f t="shared" si="0"/>
        <v>2.4176637948691631</v>
      </c>
      <c r="AK10">
        <f t="shared" si="20"/>
        <v>1.0379606979786054</v>
      </c>
      <c r="AL10">
        <f t="shared" si="21"/>
        <v>19.509131416123285</v>
      </c>
      <c r="AM10">
        <f t="shared" si="22"/>
        <v>10.242450126678484</v>
      </c>
      <c r="AN10">
        <f t="shared" si="23"/>
        <v>39095.333152464744</v>
      </c>
    </row>
    <row r="11" spans="1:40" ht="15.75" thickBot="1" x14ac:dyDescent="0.3">
      <c r="A11" t="s">
        <v>81</v>
      </c>
      <c r="B11" t="s">
        <v>121</v>
      </c>
      <c r="C11" s="12">
        <v>1.2313099999999999</v>
      </c>
      <c r="D11" s="12">
        <v>-1.0789999999999999E-2</v>
      </c>
      <c r="E11" s="15">
        <f t="shared" si="1"/>
        <v>1.0789999999999999E-2</v>
      </c>
      <c r="F11" s="16">
        <f>((((E11*0.8)/'Acid vial stuff'!$B$36)*2)/'Acid vial stuff'!$B$45)*1000</f>
        <v>0.4956607291885945</v>
      </c>
      <c r="G11" s="12">
        <v>0.49567</v>
      </c>
      <c r="H11" s="12">
        <v>1.2337899999999999</v>
      </c>
      <c r="I11" s="2">
        <f t="shared" si="2"/>
        <v>8.3099999999999615E-3</v>
      </c>
      <c r="J11" s="2">
        <f t="shared" si="3"/>
        <v>0.77015755329007984</v>
      </c>
      <c r="K11">
        <f t="shared" si="4"/>
        <v>60.647412755716282</v>
      </c>
      <c r="L11">
        <f t="shared" si="5"/>
        <v>6602.6229612285897</v>
      </c>
      <c r="M11">
        <f t="shared" si="6"/>
        <v>33.013114806142951</v>
      </c>
      <c r="N11">
        <v>2.5</v>
      </c>
      <c r="O11" s="1">
        <f t="shared" si="7"/>
        <v>7.5727480265958116E-2</v>
      </c>
      <c r="P11" s="1"/>
      <c r="Q11" s="12">
        <v>7.5609999999999997E-2</v>
      </c>
      <c r="R11" s="20">
        <f t="shared" si="8"/>
        <v>2.4242725197340418</v>
      </c>
      <c r="S11" s="12">
        <v>2.4428800000000002</v>
      </c>
      <c r="T11">
        <f t="shared" si="9"/>
        <v>2.5184900000000003</v>
      </c>
      <c r="U11">
        <f t="shared" si="10"/>
        <v>2.4893119266055046</v>
      </c>
      <c r="V11">
        <f t="shared" si="11"/>
        <v>1.0117213407780052</v>
      </c>
      <c r="W11">
        <f t="shared" si="12"/>
        <v>33.015236079883614</v>
      </c>
      <c r="X11">
        <f t="shared" si="13"/>
        <v>199.98714972847364</v>
      </c>
      <c r="Y11">
        <f t="shared" si="14"/>
        <v>19.998714972847363</v>
      </c>
      <c r="Z11">
        <f t="shared" si="15"/>
        <v>2002.288649764118</v>
      </c>
      <c r="AA11">
        <v>2.5</v>
      </c>
      <c r="AB11">
        <f t="shared" si="16"/>
        <v>0.12500803193576676</v>
      </c>
      <c r="AC11" s="23">
        <f t="shared" si="17"/>
        <v>6.2504015967883381E-2</v>
      </c>
      <c r="AD11" s="32">
        <v>6.2230000000000001E-2</v>
      </c>
      <c r="AE11" s="35">
        <v>5.7700000000000001E-2</v>
      </c>
      <c r="AF11" s="33">
        <f t="shared" si="18"/>
        <v>0.11993000000000001</v>
      </c>
      <c r="AG11" s="20">
        <f t="shared" si="19"/>
        <v>2.3749919680642333</v>
      </c>
      <c r="AH11" s="12">
        <v>2.3952599999999999</v>
      </c>
      <c r="AI11">
        <f t="shared" si="24"/>
        <v>2.51519</v>
      </c>
      <c r="AJ11">
        <f t="shared" si="0"/>
        <v>2.4283667391886494</v>
      </c>
      <c r="AK11">
        <f t="shared" si="20"/>
        <v>1.0357537679174273</v>
      </c>
      <c r="AL11">
        <f t="shared" si="21"/>
        <v>20.485537007192971</v>
      </c>
      <c r="AM11">
        <f t="shared" si="22"/>
        <v>9.7623581777843214</v>
      </c>
      <c r="AN11">
        <f t="shared" si="23"/>
        <v>41017.95823382528</v>
      </c>
    </row>
    <row r="12" spans="1:40" ht="15.75" thickBot="1" x14ac:dyDescent="0.3">
      <c r="A12" t="s">
        <v>82</v>
      </c>
      <c r="B12" t="s">
        <v>122</v>
      </c>
      <c r="C12" s="12">
        <v>1.2300800000000001</v>
      </c>
      <c r="D12" s="12">
        <v>-1.076E-2</v>
      </c>
      <c r="E12" s="15">
        <f t="shared" si="1"/>
        <v>1.076E-2</v>
      </c>
      <c r="F12" s="16">
        <f>((((E12*0.8)/'Acid vial stuff'!$B$36)*2)/'Acid vial stuff'!$B$45)*1000</f>
        <v>0.4942826178006744</v>
      </c>
      <c r="G12" s="12">
        <v>0.49330000000000002</v>
      </c>
      <c r="H12" s="12">
        <v>1.2337899999999999</v>
      </c>
      <c r="I12" s="2">
        <f t="shared" si="2"/>
        <v>7.0500000000001204E-3</v>
      </c>
      <c r="J12" s="2">
        <f t="shared" si="3"/>
        <v>0.65520446096655394</v>
      </c>
      <c r="K12">
        <f t="shared" si="4"/>
        <v>70.97163120567258</v>
      </c>
      <c r="L12">
        <f t="shared" si="5"/>
        <v>5642.1417008095268</v>
      </c>
      <c r="M12">
        <f t="shared" si="6"/>
        <v>28.210708504047634</v>
      </c>
      <c r="N12">
        <v>2.5</v>
      </c>
      <c r="O12" s="1">
        <f t="shared" si="7"/>
        <v>8.8618830669967161E-2</v>
      </c>
      <c r="P12" s="1"/>
      <c r="Q12" s="12">
        <v>8.5309999999999997E-2</v>
      </c>
      <c r="R12" s="20">
        <f t="shared" si="8"/>
        <v>2.4113811693300327</v>
      </c>
      <c r="S12" s="12">
        <v>2.4261900000000001</v>
      </c>
      <c r="T12">
        <f t="shared" si="9"/>
        <v>2.5114999999999998</v>
      </c>
      <c r="U12">
        <f t="shared" si="10"/>
        <v>2.4824927475795047</v>
      </c>
      <c r="V12">
        <f t="shared" si="11"/>
        <v>1.0116847279609489</v>
      </c>
      <c r="W12">
        <f t="shared" si="12"/>
        <v>29.181147899105934</v>
      </c>
      <c r="X12">
        <f t="shared" si="13"/>
        <v>193.34886072053368</v>
      </c>
      <c r="Y12">
        <f t="shared" si="14"/>
        <v>19.334886072053369</v>
      </c>
      <c r="Z12">
        <f t="shared" si="15"/>
        <v>2071.0336668535338</v>
      </c>
      <c r="AA12">
        <v>2.5</v>
      </c>
      <c r="AB12">
        <f t="shared" si="16"/>
        <v>0.12929996022130683</v>
      </c>
      <c r="AC12" s="23">
        <f t="shared" si="17"/>
        <v>6.4649980110653413E-2</v>
      </c>
      <c r="AD12" s="32">
        <v>6.4519999999999994E-2</v>
      </c>
      <c r="AE12" s="35">
        <v>6.0589999999999998E-2</v>
      </c>
      <c r="AF12" s="33">
        <f t="shared" si="18"/>
        <v>0.12511</v>
      </c>
      <c r="AG12" s="20">
        <f t="shared" si="19"/>
        <v>2.370700039778693</v>
      </c>
      <c r="AH12" s="12">
        <v>2.3857499999999998</v>
      </c>
      <c r="AI12">
        <f t="shared" si="24"/>
        <v>2.5108599999999996</v>
      </c>
      <c r="AJ12">
        <f t="shared" si="0"/>
        <v>2.4212352830177686</v>
      </c>
      <c r="AK12">
        <f t="shared" si="20"/>
        <v>1.0370161122344645</v>
      </c>
      <c r="AL12">
        <f t="shared" si="21"/>
        <v>19.578984562619155</v>
      </c>
      <c r="AM12">
        <f t="shared" si="22"/>
        <v>9.8753262766079164</v>
      </c>
      <c r="AN12">
        <f t="shared" si="23"/>
        <v>40548.736191989876</v>
      </c>
    </row>
    <row r="13" spans="1:40" ht="15.75" thickBot="1" x14ac:dyDescent="0.3">
      <c r="A13" t="s">
        <v>83</v>
      </c>
      <c r="B13" t="s">
        <v>123</v>
      </c>
      <c r="C13" s="12">
        <v>1.2306999999999999</v>
      </c>
      <c r="D13" s="12">
        <v>-1.056E-2</v>
      </c>
      <c r="E13" s="15">
        <f t="shared" si="1"/>
        <v>1.056E-2</v>
      </c>
      <c r="F13" s="16">
        <f>((((E13*0.8)/'Acid vial stuff'!$B$36)*2)/'Acid vial stuff'!$B$45)*1000</f>
        <v>0.48509520854787375</v>
      </c>
      <c r="G13" s="12">
        <v>0.48642000000000002</v>
      </c>
      <c r="H13" s="12">
        <v>1.23546</v>
      </c>
      <c r="I13" s="2">
        <f t="shared" si="2"/>
        <v>5.7999999999999025E-3</v>
      </c>
      <c r="J13" s="2">
        <f t="shared" si="3"/>
        <v>0.54924242424241498</v>
      </c>
      <c r="K13">
        <f t="shared" si="4"/>
        <v>84.865517241380729</v>
      </c>
      <c r="L13">
        <f t="shared" si="5"/>
        <v>4718.4299703383876</v>
      </c>
      <c r="M13">
        <f t="shared" si="6"/>
        <v>23.592149851691939</v>
      </c>
      <c r="N13">
        <v>2.5</v>
      </c>
      <c r="O13" s="1">
        <f t="shared" si="7"/>
        <v>0.1059674517038857</v>
      </c>
      <c r="P13" s="23">
        <f>O13/2</f>
        <v>5.2983725851942852E-2</v>
      </c>
      <c r="Q13" s="12">
        <v>0.10281</v>
      </c>
      <c r="R13" s="20">
        <f t="shared" si="8"/>
        <v>2.3940325482961144</v>
      </c>
      <c r="S13" s="12">
        <v>2.4281299999999999</v>
      </c>
      <c r="T13">
        <f t="shared" si="9"/>
        <v>2.5309399999999997</v>
      </c>
      <c r="U13">
        <f t="shared" si="10"/>
        <v>2.5018608804438482</v>
      </c>
      <c r="V13">
        <f t="shared" si="11"/>
        <v>1.0116229962199148</v>
      </c>
      <c r="W13">
        <f t="shared" si="12"/>
        <v>24.402938341689435</v>
      </c>
      <c r="X13">
        <f t="shared" si="13"/>
        <v>193.35499292220589</v>
      </c>
      <c r="Y13">
        <f t="shared" si="14"/>
        <v>19.335499292220589</v>
      </c>
      <c r="Z13">
        <f t="shared" si="15"/>
        <v>2070.9679845769956</v>
      </c>
      <c r="AA13">
        <v>2.5</v>
      </c>
      <c r="AB13">
        <f t="shared" si="16"/>
        <v>0.12929585950779382</v>
      </c>
      <c r="AC13" s="23">
        <f t="shared" si="17"/>
        <v>6.464792975389691E-2</v>
      </c>
      <c r="AD13" s="32">
        <v>6.429E-2</v>
      </c>
      <c r="AE13" s="35">
        <v>6.4570000000000002E-2</v>
      </c>
      <c r="AF13" s="33">
        <f t="shared" si="18"/>
        <v>0.12886</v>
      </c>
      <c r="AG13" s="20">
        <f t="shared" si="19"/>
        <v>2.3707041404922062</v>
      </c>
      <c r="AH13" s="12">
        <v>2.3740600000000001</v>
      </c>
      <c r="AI13">
        <f t="shared" si="24"/>
        <v>2.50292</v>
      </c>
      <c r="AJ13">
        <f t="shared" si="0"/>
        <v>2.4094604338898549</v>
      </c>
      <c r="AK13">
        <f t="shared" si="20"/>
        <v>1.0387885871855813</v>
      </c>
      <c r="AL13">
        <f t="shared" si="21"/>
        <v>18.915610611555106</v>
      </c>
      <c r="AM13">
        <f t="shared" si="22"/>
        <v>10.221979976902771</v>
      </c>
      <c r="AN13">
        <f t="shared" si="23"/>
        <v>39173.623985255508</v>
      </c>
    </row>
    <row r="14" spans="1:40" ht="15.75" thickBot="1" x14ac:dyDescent="0.3">
      <c r="A14" t="s">
        <v>84</v>
      </c>
      <c r="B14" t="s">
        <v>124</v>
      </c>
      <c r="C14" s="12">
        <v>1.2307999999999999</v>
      </c>
      <c r="D14" s="12">
        <v>-1.2919999999999999E-2</v>
      </c>
      <c r="E14" s="15">
        <f t="shared" si="1"/>
        <v>1.2919999999999999E-2</v>
      </c>
      <c r="F14" s="16">
        <f>((((E14*0.8)/'Acid vial stuff'!$B$36)*2)/'Acid vial stuff'!$B$45)*1000</f>
        <v>0.59350663773092127</v>
      </c>
      <c r="G14" s="12">
        <v>0.59448999999999996</v>
      </c>
      <c r="H14" s="12">
        <v>1.2401800000000001</v>
      </c>
      <c r="I14" s="2">
        <f t="shared" si="2"/>
        <v>3.5399999999998332E-3</v>
      </c>
      <c r="J14" s="2">
        <f t="shared" si="3"/>
        <v>0.27399380804952272</v>
      </c>
      <c r="K14">
        <f t="shared" si="4"/>
        <v>168.93502824859547</v>
      </c>
      <c r="L14">
        <f t="shared" si="5"/>
        <v>2370.3313880573446</v>
      </c>
      <c r="M14">
        <f t="shared" si="6"/>
        <v>11.851656940286723</v>
      </c>
      <c r="N14">
        <v>2.5</v>
      </c>
      <c r="O14" s="1">
        <f t="shared" si="7"/>
        <v>0.21094096906415502</v>
      </c>
      <c r="P14" s="21">
        <f>O14/3</f>
        <v>7.031365635471834E-2</v>
      </c>
      <c r="Q14" s="12">
        <v>0.21103</v>
      </c>
      <c r="R14" s="20">
        <f t="shared" si="8"/>
        <v>2.289059030935845</v>
      </c>
      <c r="S14" s="12">
        <v>2.31324</v>
      </c>
      <c r="T14">
        <f t="shared" si="9"/>
        <v>2.52427</v>
      </c>
      <c r="U14">
        <f t="shared" si="10"/>
        <v>2.4962510425354463</v>
      </c>
      <c r="V14">
        <f t="shared" si="11"/>
        <v>1.0112244149274725</v>
      </c>
      <c r="W14">
        <f t="shared" si="12"/>
        <v>11.862012725463419</v>
      </c>
      <c r="X14">
        <f t="shared" si="13"/>
        <v>199.82539581744899</v>
      </c>
      <c r="Y14">
        <f t="shared" si="14"/>
        <v>19.982539581744899</v>
      </c>
      <c r="Z14">
        <f t="shared" si="15"/>
        <v>2003.9094548613616</v>
      </c>
      <c r="AA14">
        <v>2.5</v>
      </c>
      <c r="AB14">
        <f t="shared" si="16"/>
        <v>0.12510922296802962</v>
      </c>
      <c r="AC14" s="23">
        <f t="shared" si="17"/>
        <v>6.255461148401481E-2</v>
      </c>
      <c r="AD14" s="32">
        <v>6.2530000000000002E-2</v>
      </c>
      <c r="AE14" s="35">
        <v>6.2820000000000001E-2</v>
      </c>
      <c r="AF14" s="33">
        <f t="shared" si="18"/>
        <v>0.12535000000000002</v>
      </c>
      <c r="AG14" s="20">
        <f t="shared" si="19"/>
        <v>2.3748907770319705</v>
      </c>
      <c r="AH14" s="12">
        <v>2.3891900000000001</v>
      </c>
      <c r="AI14">
        <f t="shared" si="24"/>
        <v>2.5145400000000002</v>
      </c>
      <c r="AJ14">
        <f t="shared" si="0"/>
        <v>2.4226956116824265</v>
      </c>
      <c r="AK14">
        <f t="shared" si="20"/>
        <v>1.0379099990418494</v>
      </c>
      <c r="AL14">
        <f t="shared" si="21"/>
        <v>19.544387335228691</v>
      </c>
      <c r="AM14">
        <f t="shared" si="22"/>
        <v>10.224183157548479</v>
      </c>
      <c r="AN14">
        <f t="shared" si="23"/>
        <v>39165.182570537429</v>
      </c>
    </row>
    <row r="15" spans="1:40" ht="15.75" thickBot="1" x14ac:dyDescent="0.3">
      <c r="A15" t="s">
        <v>85</v>
      </c>
      <c r="B15" t="s">
        <v>125</v>
      </c>
      <c r="C15" s="12">
        <v>1.23821</v>
      </c>
      <c r="D15" s="12">
        <v>-1.0330000000000001E-2</v>
      </c>
      <c r="E15" s="15">
        <f t="shared" si="1"/>
        <v>1.0330000000000001E-2</v>
      </c>
      <c r="F15" s="16">
        <f>((((E15*0.8)/'Acid vial stuff'!$B$36)*2)/'Acid vial stuff'!$B$45)*1000</f>
        <v>0.474529687907153</v>
      </c>
      <c r="G15" s="12">
        <v>0.47565000000000002</v>
      </c>
      <c r="H15" s="12">
        <v>1.2433399999999999</v>
      </c>
      <c r="I15" s="2">
        <f t="shared" si="2"/>
        <v>5.2000000000001437E-3</v>
      </c>
      <c r="J15" s="2">
        <f t="shared" si="3"/>
        <v>0.5033881897386393</v>
      </c>
      <c r="K15">
        <f t="shared" si="4"/>
        <v>92.471153846151324</v>
      </c>
      <c r="L15">
        <f t="shared" si="5"/>
        <v>4330.3450140377599</v>
      </c>
      <c r="M15">
        <f t="shared" si="6"/>
        <v>21.6517250701888</v>
      </c>
      <c r="N15">
        <v>2.5</v>
      </c>
      <c r="O15" s="1">
        <f t="shared" si="7"/>
        <v>0.11546424092748747</v>
      </c>
      <c r="P15" s="23">
        <f>O15/2</f>
        <v>5.7732120463743736E-2</v>
      </c>
      <c r="Q15" s="12">
        <v>0.11280999999999999</v>
      </c>
      <c r="R15" s="20">
        <f t="shared" si="8"/>
        <v>2.3845357590725125</v>
      </c>
      <c r="S15" s="12">
        <v>2.4070900000000002</v>
      </c>
      <c r="T15">
        <f t="shared" si="9"/>
        <v>2.5199000000000003</v>
      </c>
      <c r="U15">
        <f t="shared" si="10"/>
        <v>2.4910424447909492</v>
      </c>
      <c r="V15">
        <f t="shared" si="11"/>
        <v>1.0115845297093975</v>
      </c>
      <c r="W15">
        <f t="shared" si="12"/>
        <v>22.143580920453541</v>
      </c>
      <c r="X15">
        <f t="shared" si="13"/>
        <v>195.55757623817362</v>
      </c>
      <c r="Y15">
        <f t="shared" si="14"/>
        <v>19.555757623817364</v>
      </c>
      <c r="Z15">
        <f t="shared" si="15"/>
        <v>2047.6424779999606</v>
      </c>
      <c r="AA15">
        <v>2.5</v>
      </c>
      <c r="AB15">
        <f t="shared" si="16"/>
        <v>0.1278395881198281</v>
      </c>
      <c r="AC15" s="23">
        <f t="shared" si="17"/>
        <v>6.3919794059914048E-2</v>
      </c>
      <c r="AD15" s="32">
        <v>6.3850000000000004E-2</v>
      </c>
      <c r="AE15" s="35">
        <v>6.3990000000000005E-2</v>
      </c>
      <c r="AF15" s="33">
        <f t="shared" si="18"/>
        <v>0.12784000000000001</v>
      </c>
      <c r="AG15" s="20">
        <f t="shared" si="19"/>
        <v>2.3721604118801718</v>
      </c>
      <c r="AH15" s="12">
        <v>2.3814099999999998</v>
      </c>
      <c r="AI15">
        <f t="shared" si="24"/>
        <v>2.5092499999999998</v>
      </c>
      <c r="AJ15">
        <f t="shared" si="0"/>
        <v>2.4162907351635532</v>
      </c>
      <c r="AK15">
        <f t="shared" si="20"/>
        <v>1.0384718872955305</v>
      </c>
      <c r="AL15">
        <f t="shared" si="21"/>
        <v>19.119855498839154</v>
      </c>
      <c r="AM15">
        <f t="shared" si="22"/>
        <v>10.227984005948514</v>
      </c>
      <c r="AN15">
        <f t="shared" si="23"/>
        <v>39150.628292644178</v>
      </c>
    </row>
    <row r="16" spans="1:40" ht="15.75" thickBot="1" x14ac:dyDescent="0.3">
      <c r="A16" t="s">
        <v>86</v>
      </c>
      <c r="B16" t="s">
        <v>129</v>
      </c>
      <c r="C16" s="12">
        <v>1.23444</v>
      </c>
      <c r="D16" s="12">
        <v>-1.405E-2</v>
      </c>
      <c r="E16" s="15">
        <f t="shared" si="1"/>
        <v>1.405E-2</v>
      </c>
      <c r="F16" s="16">
        <f>((((E16*0.8)/'Acid vial stuff'!$B$36)*2)/'Acid vial stuff'!$B$45)*1000</f>
        <v>0.64541550000924486</v>
      </c>
      <c r="G16" s="12">
        <v>0.64742</v>
      </c>
      <c r="H16" s="12">
        <v>1.2393400000000001</v>
      </c>
      <c r="I16" s="2">
        <f t="shared" si="2"/>
        <v>9.1499999999998735E-3</v>
      </c>
      <c r="J16" s="2">
        <f t="shared" si="3"/>
        <v>0.65124555160141451</v>
      </c>
      <c r="K16">
        <f t="shared" si="4"/>
        <v>71.756284153006447</v>
      </c>
      <c r="L16">
        <f t="shared" si="5"/>
        <v>5580.4450401327349</v>
      </c>
      <c r="M16">
        <f t="shared" si="6"/>
        <v>27.902225200663676</v>
      </c>
      <c r="N16">
        <v>2.5</v>
      </c>
      <c r="O16" s="1">
        <f t="shared" si="7"/>
        <v>8.9598588715445376E-2</v>
      </c>
      <c r="P16" s="1"/>
      <c r="Q16" s="12">
        <v>8.9709999999999998E-2</v>
      </c>
      <c r="R16" s="20">
        <f t="shared" si="8"/>
        <v>2.4104014112845547</v>
      </c>
      <c r="S16" s="12">
        <v>2.4274399999999998</v>
      </c>
      <c r="T16">
        <f t="shared" si="9"/>
        <v>2.51715</v>
      </c>
      <c r="U16">
        <f t="shared" si="10"/>
        <v>2.4881156398447977</v>
      </c>
      <c r="V16">
        <f t="shared" si="11"/>
        <v>1.0116692165308736</v>
      </c>
      <c r="W16">
        <f t="shared" si="12"/>
        <v>27.812756255003489</v>
      </c>
      <c r="X16">
        <f t="shared" si="13"/>
        <v>200.64336626575147</v>
      </c>
      <c r="Y16">
        <f t="shared" si="14"/>
        <v>20.064336626575148</v>
      </c>
      <c r="Z16">
        <f t="shared" si="15"/>
        <v>1995.7400409123377</v>
      </c>
      <c r="AA16">
        <v>2.5</v>
      </c>
      <c r="AB16">
        <f t="shared" si="16"/>
        <v>0.12459918543674942</v>
      </c>
      <c r="AC16" s="23">
        <f t="shared" si="17"/>
        <v>6.2299592718374708E-2</v>
      </c>
      <c r="AD16" s="32">
        <v>6.216E-2</v>
      </c>
      <c r="AE16" s="35">
        <v>6.225E-2</v>
      </c>
      <c r="AF16" s="33">
        <f t="shared" si="18"/>
        <v>0.12440999999999999</v>
      </c>
      <c r="AG16" s="20">
        <f t="shared" si="19"/>
        <v>2.3754008145632506</v>
      </c>
      <c r="AH16" s="12">
        <v>2.3834</v>
      </c>
      <c r="AI16">
        <f t="shared" si="24"/>
        <v>2.5078100000000001</v>
      </c>
      <c r="AJ16">
        <f t="shared" si="0"/>
        <v>2.4165813481535738</v>
      </c>
      <c r="AK16">
        <f t="shared" si="20"/>
        <v>1.0377511197444815</v>
      </c>
      <c r="AL16">
        <f t="shared" si="21"/>
        <v>19.651000395222638</v>
      </c>
      <c r="AM16">
        <f t="shared" si="22"/>
        <v>10.210338518670527</v>
      </c>
      <c r="AN16">
        <f t="shared" si="23"/>
        <v>39218.288332729993</v>
      </c>
    </row>
    <row r="17" spans="1:40" ht="15.75" thickBot="1" x14ac:dyDescent="0.3">
      <c r="A17" t="s">
        <v>87</v>
      </c>
      <c r="B17" t="s">
        <v>130</v>
      </c>
      <c r="C17" s="12">
        <v>1.22634</v>
      </c>
      <c r="D17" s="12">
        <v>-1.052E-2</v>
      </c>
      <c r="E17" s="15">
        <f t="shared" si="1"/>
        <v>1.052E-2</v>
      </c>
      <c r="F17" s="16">
        <f>((((E17*0.8)/'Acid vial stuff'!$B$36)*2)/'Acid vial stuff'!$B$45)*1000</f>
        <v>0.48325772669731354</v>
      </c>
      <c r="G17" s="12">
        <v>0.48453000000000002</v>
      </c>
      <c r="H17" s="12">
        <v>1.22908</v>
      </c>
      <c r="I17" s="2">
        <f t="shared" si="2"/>
        <v>7.7800000000000352E-3</v>
      </c>
      <c r="J17" s="2">
        <f t="shared" si="3"/>
        <v>0.73954372623574482</v>
      </c>
      <c r="K17">
        <f t="shared" si="4"/>
        <v>63.278920308483009</v>
      </c>
      <c r="L17">
        <f t="shared" si="5"/>
        <v>6328.0472872783694</v>
      </c>
      <c r="M17">
        <f t="shared" si="6"/>
        <v>31.640236436391845</v>
      </c>
      <c r="N17">
        <v>2.5</v>
      </c>
      <c r="O17" s="1">
        <f t="shared" si="7"/>
        <v>7.9013316004319101E-2</v>
      </c>
      <c r="P17" s="1"/>
      <c r="Q17" s="12">
        <v>7.9119999999999996E-2</v>
      </c>
      <c r="R17" s="20">
        <f t="shared" si="8"/>
        <v>2.4209866839956811</v>
      </c>
      <c r="S17" s="12">
        <v>2.4488599999999998</v>
      </c>
      <c r="T17">
        <f t="shared" si="9"/>
        <v>2.5279799999999999</v>
      </c>
      <c r="U17">
        <f t="shared" si="10"/>
        <v>2.4987212169561586</v>
      </c>
      <c r="V17">
        <f t="shared" si="11"/>
        <v>1.0117095027829808</v>
      </c>
      <c r="W17">
        <f t="shared" si="12"/>
        <v>31.66983868002573</v>
      </c>
      <c r="X17">
        <f t="shared" si="13"/>
        <v>199.81305718710493</v>
      </c>
      <c r="Y17">
        <f t="shared" si="14"/>
        <v>19.981305718710495</v>
      </c>
      <c r="Z17">
        <f t="shared" si="15"/>
        <v>2004.033198015861</v>
      </c>
      <c r="AA17">
        <v>2.5</v>
      </c>
      <c r="AB17">
        <f t="shared" si="16"/>
        <v>0.12511694857153405</v>
      </c>
      <c r="AC17" s="23">
        <f t="shared" si="17"/>
        <v>6.2558474285767024E-2</v>
      </c>
      <c r="AD17" s="32">
        <v>6.2570000000000001E-2</v>
      </c>
      <c r="AE17" s="35">
        <v>6.2149999999999997E-2</v>
      </c>
      <c r="AF17" s="33">
        <f t="shared" si="18"/>
        <v>0.12472</v>
      </c>
      <c r="AG17" s="20">
        <f t="shared" si="19"/>
        <v>2.374883051428466</v>
      </c>
      <c r="AH17" s="12">
        <v>2.3829899999999999</v>
      </c>
      <c r="AI17">
        <f t="shared" si="24"/>
        <v>2.5077099999999999</v>
      </c>
      <c r="AJ17">
        <f t="shared" si="0"/>
        <v>2.4165790178236191</v>
      </c>
      <c r="AK17">
        <f t="shared" si="20"/>
        <v>1.0377107396465164</v>
      </c>
      <c r="AL17">
        <f t="shared" si="21"/>
        <v>19.602918189208768</v>
      </c>
      <c r="AM17">
        <f t="shared" si="22"/>
        <v>10.19302612287084</v>
      </c>
      <c r="AN17">
        <f t="shared" si="23"/>
        <v>39284.898829163336</v>
      </c>
    </row>
    <row r="18" spans="1:40" ht="15.75" thickBot="1" x14ac:dyDescent="0.3">
      <c r="A18" t="s">
        <v>88</v>
      </c>
      <c r="B18" t="s">
        <v>131</v>
      </c>
      <c r="C18" s="12">
        <v>1.2326299999999999</v>
      </c>
      <c r="D18" s="12">
        <v>-1.035E-2</v>
      </c>
      <c r="E18" s="15">
        <f t="shared" si="1"/>
        <v>1.035E-2</v>
      </c>
      <c r="F18" s="16">
        <f>((((E18*0.8)/'Acid vial stuff'!$B$36)*2)/'Acid vial stuff'!$B$45)*1000</f>
        <v>0.4754484288324331</v>
      </c>
      <c r="G18" s="12">
        <v>0.47538000000000002</v>
      </c>
      <c r="H18" s="12">
        <v>1.2362299999999999</v>
      </c>
      <c r="I18" s="2">
        <f t="shared" si="2"/>
        <v>6.7499999999999522E-3</v>
      </c>
      <c r="J18" s="2">
        <f t="shared" si="3"/>
        <v>0.65217391304347361</v>
      </c>
      <c r="K18">
        <f t="shared" si="4"/>
        <v>71.426666666667174</v>
      </c>
      <c r="L18">
        <f t="shared" si="5"/>
        <v>5606.1974985999232</v>
      </c>
      <c r="M18">
        <f t="shared" si="6"/>
        <v>28.030987492999614</v>
      </c>
      <c r="N18">
        <v>2.5</v>
      </c>
      <c r="O18" s="1">
        <f t="shared" si="7"/>
        <v>8.9187011361064022E-2</v>
      </c>
      <c r="P18" s="1"/>
      <c r="Q18" s="12">
        <v>8.9120000000000005E-2</v>
      </c>
      <c r="R18" s="20">
        <f t="shared" si="8"/>
        <v>2.410812988638936</v>
      </c>
      <c r="S18" s="12">
        <v>2.4292400000000001</v>
      </c>
      <c r="T18">
        <f t="shared" si="9"/>
        <v>2.5183599999999999</v>
      </c>
      <c r="U18">
        <f t="shared" si="10"/>
        <v>2.489305943358596</v>
      </c>
      <c r="V18">
        <f t="shared" si="11"/>
        <v>1.0116715491395982</v>
      </c>
      <c r="W18">
        <f t="shared" si="12"/>
        <v>28.010278276481149</v>
      </c>
      <c r="X18">
        <f t="shared" si="13"/>
        <v>200.14786869529857</v>
      </c>
      <c r="Y18">
        <f t="shared" si="14"/>
        <v>20.014786869529857</v>
      </c>
      <c r="Z18">
        <f t="shared" si="15"/>
        <v>2000.6808096948077</v>
      </c>
      <c r="AA18">
        <v>2.5</v>
      </c>
      <c r="AB18">
        <f t="shared" si="16"/>
        <v>0.12490765034355444</v>
      </c>
      <c r="AC18" s="23">
        <f t="shared" si="17"/>
        <v>6.2453825171777222E-2</v>
      </c>
      <c r="AD18" s="32">
        <v>6.2449999999999999E-2</v>
      </c>
      <c r="AE18" s="35">
        <v>6.2520000000000006E-2</v>
      </c>
      <c r="AF18" s="33">
        <f t="shared" si="18"/>
        <v>0.12497</v>
      </c>
      <c r="AG18" s="20">
        <f t="shared" si="19"/>
        <v>2.3750923496564456</v>
      </c>
      <c r="AH18" s="12">
        <v>2.3792</v>
      </c>
      <c r="AI18">
        <f t="shared" si="24"/>
        <v>2.5041699999999998</v>
      </c>
      <c r="AJ18">
        <f t="shared" si="0"/>
        <v>2.4127176631563634</v>
      </c>
      <c r="AK18">
        <f t="shared" si="20"/>
        <v>1.0379042845502264</v>
      </c>
      <c r="AL18">
        <f t="shared" si="21"/>
        <v>19.53171013780803</v>
      </c>
      <c r="AM18">
        <f t="shared" si="22"/>
        <v>10.247329459793038</v>
      </c>
      <c r="AN18">
        <f t="shared" si="23"/>
        <v>39076.717653234053</v>
      </c>
    </row>
    <row r="19" spans="1:40" ht="15.75" thickBot="1" x14ac:dyDescent="0.3">
      <c r="A19" t="s">
        <v>89</v>
      </c>
      <c r="B19" t="s">
        <v>126</v>
      </c>
      <c r="C19" s="12">
        <v>1.23234</v>
      </c>
      <c r="D19" s="12">
        <v>-1.1089999999999999E-2</v>
      </c>
      <c r="E19" s="15">
        <f t="shared" si="1"/>
        <v>1.1089999999999999E-2</v>
      </c>
      <c r="F19" s="16">
        <f>((((E19*0.8)/'Acid vial stuff'!$B$36)*2)/'Acid vial stuff'!$B$45)*1000</f>
        <v>0.50944184306779539</v>
      </c>
      <c r="G19" s="12">
        <v>0.51127</v>
      </c>
      <c r="H19" s="12">
        <v>1.2341</v>
      </c>
      <c r="I19" s="2">
        <f t="shared" si="2"/>
        <v>9.3300000000000154E-3</v>
      </c>
      <c r="J19" s="2">
        <f t="shared" si="3"/>
        <v>0.84129846708746758</v>
      </c>
      <c r="K19">
        <f t="shared" si="4"/>
        <v>55.798499464094235</v>
      </c>
      <c r="L19">
        <f t="shared" si="5"/>
        <v>7176.393699577422</v>
      </c>
      <c r="M19">
        <f t="shared" si="6"/>
        <v>35.881968497887108</v>
      </c>
      <c r="N19">
        <v>2.5</v>
      </c>
      <c r="O19" s="1">
        <f t="shared" si="7"/>
        <v>6.9672877622285731E-2</v>
      </c>
      <c r="P19" s="1"/>
      <c r="Q19" s="12">
        <v>6.9870000000000002E-2</v>
      </c>
      <c r="R19" s="20">
        <f t="shared" si="8"/>
        <v>2.4303271223777143</v>
      </c>
      <c r="S19" s="12">
        <v>2.4449999999999998</v>
      </c>
      <c r="T19">
        <f t="shared" si="9"/>
        <v>2.5148699999999997</v>
      </c>
      <c r="U19">
        <f t="shared" si="10"/>
        <v>2.4856828153896364</v>
      </c>
      <c r="V19">
        <f t="shared" si="11"/>
        <v>1.0117421194810763</v>
      </c>
      <c r="W19">
        <f t="shared" si="12"/>
        <v>35.675436199695532</v>
      </c>
      <c r="X19">
        <f t="shared" si="13"/>
        <v>201.15784035287194</v>
      </c>
      <c r="Y19">
        <f t="shared" si="14"/>
        <v>20.115784035287195</v>
      </c>
      <c r="Z19">
        <f t="shared" si="15"/>
        <v>1990.6358076700392</v>
      </c>
      <c r="AA19">
        <v>2.5</v>
      </c>
      <c r="AB19">
        <f t="shared" si="16"/>
        <v>0.12428051502315243</v>
      </c>
      <c r="AC19" s="23">
        <f t="shared" si="17"/>
        <v>6.2140257511576216E-2</v>
      </c>
      <c r="AD19" s="32">
        <v>6.1960000000000001E-2</v>
      </c>
      <c r="AE19" s="35">
        <v>6.216E-2</v>
      </c>
      <c r="AF19" s="33">
        <f t="shared" si="18"/>
        <v>0.12412000000000001</v>
      </c>
      <c r="AG19" s="20">
        <f t="shared" si="19"/>
        <v>2.3757194849768477</v>
      </c>
      <c r="AH19" s="12">
        <v>2.3708300000000002</v>
      </c>
      <c r="AI19">
        <f t="shared" si="24"/>
        <v>2.4949500000000002</v>
      </c>
      <c r="AJ19">
        <f t="shared" si="0"/>
        <v>2.4039582933158008</v>
      </c>
      <c r="AK19">
        <f t="shared" si="20"/>
        <v>1.0378507842408089</v>
      </c>
      <c r="AL19">
        <f t="shared" si="21"/>
        <v>19.595438759454069</v>
      </c>
      <c r="AM19">
        <f t="shared" si="22"/>
        <v>10.265544080038564</v>
      </c>
      <c r="AN19">
        <f t="shared" si="23"/>
        <v>39007.382061574644</v>
      </c>
    </row>
    <row r="20" spans="1:40" ht="15.75" thickBot="1" x14ac:dyDescent="0.3">
      <c r="A20" t="s">
        <v>90</v>
      </c>
      <c r="B20" t="s">
        <v>127</v>
      </c>
      <c r="C20" s="12">
        <v>1.2315700000000001</v>
      </c>
      <c r="D20" s="12">
        <v>-1.12E-2</v>
      </c>
      <c r="E20" s="15">
        <f t="shared" si="1"/>
        <v>1.12E-2</v>
      </c>
      <c r="F20" s="16">
        <f>((((E20*0.8)/'Acid vial stuff'!$B$36)*2)/'Acid vial stuff'!$B$45)*1000</f>
        <v>0.51449491815683579</v>
      </c>
      <c r="G20" s="12">
        <v>0.51470000000000005</v>
      </c>
      <c r="H20" s="12">
        <v>1.23289</v>
      </c>
      <c r="I20" s="2">
        <f t="shared" si="2"/>
        <v>9.880000000000012E-3</v>
      </c>
      <c r="J20" s="2">
        <f t="shared" si="3"/>
        <v>0.88214285714285823</v>
      </c>
      <c r="K20">
        <f t="shared" si="4"/>
        <v>53.095141700404795</v>
      </c>
      <c r="L20">
        <f t="shared" si="5"/>
        <v>7541.7823020321111</v>
      </c>
      <c r="M20">
        <f t="shared" si="6"/>
        <v>37.708911510160554</v>
      </c>
      <c r="N20">
        <v>2.5</v>
      </c>
      <c r="O20" s="1">
        <f t="shared" si="7"/>
        <v>6.6297326013411512E-2</v>
      </c>
      <c r="P20" s="1"/>
      <c r="Q20" s="12">
        <v>6.6449999999999995E-2</v>
      </c>
      <c r="R20" s="20">
        <f t="shared" si="8"/>
        <v>2.4337026739865886</v>
      </c>
      <c r="S20" s="12">
        <v>2.45479</v>
      </c>
      <c r="T20">
        <f t="shared" si="9"/>
        <v>2.5212400000000001</v>
      </c>
      <c r="U20">
        <f t="shared" si="10"/>
        <v>2.4919462776951811</v>
      </c>
      <c r="V20">
        <f t="shared" si="11"/>
        <v>1.0117553586796875</v>
      </c>
      <c r="W20">
        <f t="shared" si="12"/>
        <v>37.606075654969565</v>
      </c>
      <c r="X20">
        <f t="shared" si="13"/>
        <v>200.54691085629085</v>
      </c>
      <c r="Y20">
        <f t="shared" si="14"/>
        <v>20.054691085629084</v>
      </c>
      <c r="Z20">
        <f t="shared" si="15"/>
        <v>1996.6999156967522</v>
      </c>
      <c r="AA20">
        <v>2.5</v>
      </c>
      <c r="AB20">
        <f t="shared" si="16"/>
        <v>0.12465911288912676</v>
      </c>
      <c r="AC20" s="23">
        <f t="shared" si="17"/>
        <v>6.232955644456338E-2</v>
      </c>
      <c r="AD20" s="32">
        <v>6.2239999999999997E-2</v>
      </c>
      <c r="AE20" s="35">
        <v>6.1580000000000003E-2</v>
      </c>
      <c r="AF20" s="33">
        <f t="shared" si="18"/>
        <v>0.12382</v>
      </c>
      <c r="AG20" s="20">
        <f t="shared" si="19"/>
        <v>2.3753408871108732</v>
      </c>
      <c r="AH20" s="12">
        <v>2.3939400000000002</v>
      </c>
      <c r="AI20">
        <f t="shared" si="24"/>
        <v>2.51776</v>
      </c>
      <c r="AJ20">
        <f t="shared" si="0"/>
        <v>2.4270702070778341</v>
      </c>
      <c r="AK20">
        <f t="shared" si="20"/>
        <v>1.0373659536743913</v>
      </c>
      <c r="AL20">
        <f t="shared" si="21"/>
        <v>19.832024615593742</v>
      </c>
      <c r="AM20">
        <f t="shared" si="22"/>
        <v>10.112276217053635</v>
      </c>
      <c r="AN20">
        <f t="shared" si="23"/>
        <v>39598.601878051937</v>
      </c>
    </row>
    <row r="21" spans="1:40" ht="15.75" thickBot="1" x14ac:dyDescent="0.3">
      <c r="A21" t="s">
        <v>91</v>
      </c>
      <c r="B21" t="s">
        <v>128</v>
      </c>
      <c r="C21" s="12">
        <v>1.238</v>
      </c>
      <c r="D21" s="12">
        <v>-1.057E-2</v>
      </c>
      <c r="E21" s="15">
        <f t="shared" si="1"/>
        <v>1.057E-2</v>
      </c>
      <c r="F21" s="16">
        <f>((((E21*0.8)/'Acid vial stuff'!$B$36)*2)/'Acid vial stuff'!$B$45)*1000</f>
        <v>0.48555457901051374</v>
      </c>
      <c r="G21" s="12">
        <v>0.4879</v>
      </c>
      <c r="H21" s="12">
        <v>1.24515</v>
      </c>
      <c r="I21" s="2">
        <f t="shared" si="2"/>
        <v>3.4200000000000098E-3</v>
      </c>
      <c r="J21" s="2">
        <f t="shared" si="3"/>
        <v>0.3235572374645232</v>
      </c>
      <c r="K21">
        <f t="shared" si="4"/>
        <v>143.66081871344988</v>
      </c>
      <c r="L21">
        <f t="shared" si="5"/>
        <v>2787.3431572091586</v>
      </c>
      <c r="M21">
        <f t="shared" si="6"/>
        <v>13.936715786045793</v>
      </c>
      <c r="N21">
        <v>2.5</v>
      </c>
      <c r="O21" s="1">
        <f t="shared" si="7"/>
        <v>0.17938229051805288</v>
      </c>
      <c r="P21" s="23">
        <f>O21/2</f>
        <v>8.9691145259026439E-2</v>
      </c>
      <c r="Q21" s="12">
        <v>0.17946000000000001</v>
      </c>
      <c r="R21" s="20">
        <f t="shared" si="8"/>
        <v>2.3206177094819473</v>
      </c>
      <c r="S21" s="12">
        <v>2.3532299999999999</v>
      </c>
      <c r="T21">
        <f t="shared" si="9"/>
        <v>2.5326900000000001</v>
      </c>
      <c r="U21">
        <f t="shared" si="10"/>
        <v>2.5042850019944156</v>
      </c>
      <c r="V21">
        <f t="shared" si="11"/>
        <v>1.0113425580486897</v>
      </c>
      <c r="W21">
        <f t="shared" si="12"/>
        <v>13.993630892678031</v>
      </c>
      <c r="X21">
        <f t="shared" si="13"/>
        <v>199.18655698340567</v>
      </c>
      <c r="Y21">
        <f t="shared" si="14"/>
        <v>19.918655698340565</v>
      </c>
      <c r="Z21">
        <f t="shared" si="15"/>
        <v>2010.3364708159504</v>
      </c>
      <c r="AA21">
        <v>2.5</v>
      </c>
      <c r="AB21">
        <f t="shared" si="16"/>
        <v>0.12551047810963853</v>
      </c>
      <c r="AC21" s="23">
        <f t="shared" si="17"/>
        <v>6.2755239054819265E-2</v>
      </c>
      <c r="AD21" s="32">
        <v>6.275E-2</v>
      </c>
      <c r="AE21" s="36">
        <v>6.2880000000000005E-2</v>
      </c>
      <c r="AF21" s="33">
        <f t="shared" si="18"/>
        <v>0.12563000000000002</v>
      </c>
      <c r="AG21" s="20">
        <f t="shared" si="19"/>
        <v>2.3744895218903617</v>
      </c>
      <c r="AH21" s="12">
        <v>2.3909600000000002</v>
      </c>
      <c r="AI21">
        <f t="shared" si="24"/>
        <v>2.5165900000000003</v>
      </c>
      <c r="AJ21">
        <f t="shared" si="0"/>
        <v>2.424654932607802</v>
      </c>
      <c r="AK21">
        <f t="shared" si="20"/>
        <v>1.0379167633941704</v>
      </c>
      <c r="AL21">
        <f t="shared" si="21"/>
        <v>19.518878627150738</v>
      </c>
      <c r="AM21">
        <f t="shared" si="22"/>
        <v>10.204815593572953</v>
      </c>
      <c r="AN21">
        <f t="shared" si="23"/>
        <v>39239.513573591095</v>
      </c>
    </row>
    <row r="22" spans="1:40" ht="15.75" thickBot="1" x14ac:dyDescent="0.3">
      <c r="A22" t="s">
        <v>92</v>
      </c>
      <c r="B22" t="s">
        <v>132</v>
      </c>
      <c r="C22" s="12">
        <v>1.23166</v>
      </c>
      <c r="D22" s="12">
        <v>0</v>
      </c>
      <c r="E22" s="15">
        <f t="shared" si="1"/>
        <v>0</v>
      </c>
      <c r="F22" s="16">
        <v>1</v>
      </c>
      <c r="G22" s="12">
        <v>1.0041500000000001</v>
      </c>
      <c r="H22" s="12">
        <v>1.23166</v>
      </c>
      <c r="I22" s="2">
        <f t="shared" si="2"/>
        <v>0</v>
      </c>
      <c r="J22" s="2" t="s">
        <v>102</v>
      </c>
      <c r="K22" t="s">
        <v>100</v>
      </c>
      <c r="L22" t="s">
        <v>100</v>
      </c>
      <c r="M22">
        <v>10</v>
      </c>
      <c r="N22">
        <v>2.5</v>
      </c>
      <c r="O22">
        <f>N22/M22</f>
        <v>0.25</v>
      </c>
      <c r="Q22" s="12">
        <v>0.24912000000000001</v>
      </c>
      <c r="R22" s="20">
        <f t="shared" si="8"/>
        <v>2.25</v>
      </c>
      <c r="S22" s="12">
        <v>2.27474</v>
      </c>
      <c r="T22">
        <f t="shared" si="9"/>
        <v>2.52386</v>
      </c>
      <c r="U22">
        <f t="shared" si="10"/>
        <v>2.4961912100663595</v>
      </c>
      <c r="V22">
        <f t="shared" si="11"/>
        <v>1.0110844032388469</v>
      </c>
      <c r="W22">
        <f t="shared" si="12"/>
        <v>10.048091463770652</v>
      </c>
      <c r="X22" t="s">
        <v>100</v>
      </c>
      <c r="Y22" t="s">
        <v>100</v>
      </c>
      <c r="Z22" t="s">
        <v>100</v>
      </c>
      <c r="AA22" t="s">
        <v>100</v>
      </c>
      <c r="AB22" t="s">
        <v>100</v>
      </c>
      <c r="AC22" t="s">
        <v>100</v>
      </c>
      <c r="AF22" t="s">
        <v>100</v>
      </c>
      <c r="AG22" t="s">
        <v>100</v>
      </c>
      <c r="AH22" t="s">
        <v>100</v>
      </c>
      <c r="AI22" t="s">
        <v>100</v>
      </c>
      <c r="AJ22" t="s">
        <v>100</v>
      </c>
      <c r="AK22" t="s">
        <v>100</v>
      </c>
      <c r="AL22" t="s">
        <v>100</v>
      </c>
      <c r="AM22" t="s">
        <v>100</v>
      </c>
      <c r="AN22" t="s">
        <v>100</v>
      </c>
    </row>
    <row r="23" spans="1:40" x14ac:dyDescent="0.25">
      <c r="P23" s="22" t="s">
        <v>103</v>
      </c>
    </row>
    <row r="24" spans="1:40" x14ac:dyDescent="0.25">
      <c r="P24" s="24" t="s">
        <v>104</v>
      </c>
    </row>
    <row r="25" spans="1:40" x14ac:dyDescent="0.25">
      <c r="J25" s="2">
        <f>AVERAGE(J3:J21)</f>
        <v>0.65714613172508007</v>
      </c>
      <c r="Q25">
        <f>O3+AB3</f>
        <v>0.20284049971978391</v>
      </c>
    </row>
    <row r="26" spans="1:40" x14ac:dyDescent="0.25">
      <c r="A26" t="s">
        <v>25</v>
      </c>
    </row>
    <row r="27" spans="1:40" x14ac:dyDescent="0.25">
      <c r="A27" t="s">
        <v>98</v>
      </c>
      <c r="N27" s="26"/>
      <c r="O27" s="27" t="s">
        <v>110</v>
      </c>
      <c r="P27" s="28" t="s">
        <v>109</v>
      </c>
    </row>
    <row r="28" spans="1:40" x14ac:dyDescent="0.25">
      <c r="A28" t="s">
        <v>23</v>
      </c>
      <c r="N28" s="29" t="s">
        <v>106</v>
      </c>
      <c r="O28" s="30">
        <v>0.16395999999999999</v>
      </c>
      <c r="P28" s="31">
        <v>8.2170000000000007E-2</v>
      </c>
    </row>
    <row r="32" spans="1:40" x14ac:dyDescent="0.25">
      <c r="A32" t="s">
        <v>4</v>
      </c>
      <c r="C32">
        <v>40.043199999999999</v>
      </c>
      <c r="D32" t="s">
        <v>5</v>
      </c>
    </row>
    <row r="33" spans="1:6" x14ac:dyDescent="0.25">
      <c r="C33">
        <f>C32*10000</f>
        <v>400432</v>
      </c>
      <c r="D33" t="s">
        <v>6</v>
      </c>
    </row>
    <row r="35" spans="1:6" x14ac:dyDescent="0.25">
      <c r="A35" t="s">
        <v>9</v>
      </c>
      <c r="C35">
        <v>1.0982000000000001</v>
      </c>
      <c r="D35" t="s">
        <v>10</v>
      </c>
      <c r="F35" t="s">
        <v>11</v>
      </c>
    </row>
    <row r="36" spans="1:6" x14ac:dyDescent="0.25">
      <c r="A36" t="s">
        <v>12</v>
      </c>
      <c r="C36">
        <v>1.012</v>
      </c>
      <c r="D36" t="s">
        <v>10</v>
      </c>
    </row>
    <row r="37" spans="1:6" x14ac:dyDescent="0.25">
      <c r="A37" t="s">
        <v>13</v>
      </c>
      <c r="C37">
        <v>1.0027999999999999</v>
      </c>
      <c r="D37" t="s">
        <v>10</v>
      </c>
      <c r="F37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Acid vial stuff</vt:lpstr>
      <vt:lpstr>Digests &amp; dilutions (strong)</vt:lpstr>
      <vt:lpstr>Digests &amp; dilutions (weak)</vt:lpstr>
      <vt:lpstr>Sheet3</vt:lpstr>
    </vt:vector>
  </TitlesOfParts>
  <Company>University of Texas at Austin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Miller</dc:creator>
  <cp:lastModifiedBy>Nick</cp:lastModifiedBy>
  <dcterms:created xsi:type="dcterms:W3CDTF">2020-10-27T19:10:05Z</dcterms:created>
  <dcterms:modified xsi:type="dcterms:W3CDTF">2020-11-28T17:36:43Z</dcterms:modified>
</cp:coreProperties>
</file>