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bf224\Box Sync\Courses\Spring_2021\Geofluids\HW_01\"/>
    </mc:Choice>
  </mc:AlternateContent>
  <xr:revisionPtr revIDLastSave="0" documentId="13_ncr:1_{B92EC1E2-756D-4224-843E-5C4064E597B6}" xr6:coauthVersionLast="36" xr6:coauthVersionMax="36" xr10:uidLastSave="{00000000-0000-0000-0000-000000000000}"/>
  <bookViews>
    <workbookView xWindow="0" yWindow="0" windowWidth="15600" windowHeight="11760" activeTab="3" xr2:uid="{00000000-000D-0000-FFFF-FFFF00000000}"/>
  </bookViews>
  <sheets>
    <sheet name="Hydro_Litho_Pp" sheetId="1" r:id="rId1"/>
    <sheet name="Wellbore_Pressure" sheetId="3" r:id="rId2"/>
    <sheet name="Least Principal" sheetId="4" r:id="rId3"/>
    <sheet name="HW_1_answer_calculation" sheetId="6" r:id="rId4"/>
    <sheet name="Sheet1" sheetId="5" state="hidden" r:id="rId5"/>
  </sheets>
  <definedNames>
    <definedName name="gradients">Hydro_Litho_Pp!$AD$30:$AD$32</definedName>
    <definedName name="pressure">Hydro_Litho_Pp!$AJ$28:$AJ$29</definedName>
    <definedName name="units">Hydro_Litho_Pp!$AC$30:$AC$31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" i="6" l="1"/>
  <c r="O8" i="6"/>
  <c r="N7" i="6"/>
  <c r="O7" i="6" s="1"/>
  <c r="H4" i="6"/>
  <c r="H5" i="6" s="1"/>
  <c r="F4" i="6"/>
  <c r="G4" i="6" s="1"/>
  <c r="P7" i="6" l="1"/>
  <c r="I4" i="6"/>
  <c r="B7" i="4" l="1"/>
  <c r="B12" i="4"/>
  <c r="B10" i="3"/>
  <c r="B21" i="1"/>
  <c r="D6" i="3"/>
  <c r="D7" i="3"/>
  <c r="D5" i="3"/>
  <c r="C7" i="4"/>
  <c r="C12" i="4"/>
  <c r="F10" i="3"/>
  <c r="C10" i="3"/>
  <c r="I10" i="3"/>
  <c r="B7" i="1"/>
  <c r="AB32" i="1"/>
  <c r="AB30" i="1"/>
  <c r="AB31" i="1"/>
  <c r="A8" i="4"/>
  <c r="A7" i="4"/>
  <c r="A12" i="4"/>
  <c r="B31" i="3" l="1"/>
  <c r="H10" i="3"/>
  <c r="E10" i="3"/>
  <c r="A10" i="3"/>
  <c r="E10" i="1"/>
  <c r="F9" i="1"/>
  <c r="F8" i="1"/>
  <c r="H31" i="3" l="1"/>
  <c r="E31" i="3"/>
  <c r="A62" i="1"/>
  <c r="A43" i="4" s="1"/>
  <c r="A52" i="1"/>
  <c r="A32" i="1"/>
  <c r="F21" i="1"/>
  <c r="D21" i="1"/>
  <c r="A21" i="1"/>
  <c r="A23" i="1" l="1"/>
  <c r="A24" i="1" s="1"/>
  <c r="A25" i="1" s="1"/>
  <c r="A26" i="1" s="1"/>
  <c r="A27" i="1" s="1"/>
  <c r="A28" i="1" s="1"/>
  <c r="A29" i="1" s="1"/>
  <c r="A30" i="1" s="1"/>
  <c r="A31" i="1" s="1"/>
  <c r="A13" i="4"/>
  <c r="A11" i="3"/>
  <c r="A31" i="3"/>
  <c r="J31" i="3" s="1"/>
  <c r="A33" i="4"/>
  <c r="A53" i="1"/>
  <c r="A33" i="1"/>
  <c r="G31" i="3" l="1"/>
  <c r="A34" i="1"/>
  <c r="A12" i="3"/>
  <c r="A14" i="4"/>
  <c r="D31" i="3"/>
  <c r="A54" i="1"/>
  <c r="A34" i="4"/>
  <c r="D4" i="3"/>
  <c r="E13" i="1"/>
  <c r="C4" i="3"/>
  <c r="D13" i="1"/>
  <c r="B74" i="3"/>
  <c r="C74" i="3" s="1"/>
  <c r="B54" i="3"/>
  <c r="C54" i="3" s="1"/>
  <c r="A35" i="1" l="1"/>
  <c r="A13" i="3"/>
  <c r="A15" i="4"/>
  <c r="C7" i="3"/>
  <c r="C6" i="3"/>
  <c r="C5" i="3"/>
  <c r="A55" i="1"/>
  <c r="A35" i="4"/>
  <c r="D15" i="1"/>
  <c r="D16" i="1"/>
  <c r="D14" i="1"/>
  <c r="B81" i="4"/>
  <c r="B93" i="4" s="1"/>
  <c r="B61" i="4"/>
  <c r="B91" i="4"/>
  <c r="D74" i="3"/>
  <c r="E74" i="3" s="1"/>
  <c r="D93" i="4"/>
  <c r="B55" i="3"/>
  <c r="A56" i="1" l="1"/>
  <c r="A36" i="4"/>
  <c r="A36" i="1"/>
  <c r="A16" i="4"/>
  <c r="A14" i="3"/>
  <c r="F14" i="1"/>
  <c r="E14" i="1"/>
  <c r="E16" i="1"/>
  <c r="F16" i="1"/>
  <c r="F15" i="1"/>
  <c r="E15" i="1"/>
  <c r="E93" i="4"/>
  <c r="C81" i="4"/>
  <c r="C93" i="4" s="1"/>
  <c r="C61" i="4"/>
  <c r="C91" i="4"/>
  <c r="B23" i="1"/>
  <c r="J74" i="3"/>
  <c r="L74" i="3" s="1"/>
  <c r="B82" i="4"/>
  <c r="G74" i="3"/>
  <c r="H74" i="3" s="1"/>
  <c r="F74" i="3"/>
  <c r="B56" i="3"/>
  <c r="C55" i="3"/>
  <c r="B62" i="4"/>
  <c r="A37" i="1" l="1"/>
  <c r="A15" i="3"/>
  <c r="A17" i="4"/>
  <c r="A57" i="1"/>
  <c r="A37" i="4"/>
  <c r="C62" i="4"/>
  <c r="B83" i="4"/>
  <c r="C82" i="4"/>
  <c r="K74" i="3"/>
  <c r="B24" i="1"/>
  <c r="C23" i="1"/>
  <c r="I74" i="3"/>
  <c r="B57" i="3"/>
  <c r="C56" i="3"/>
  <c r="B63" i="4"/>
  <c r="A38" i="1" l="1"/>
  <c r="A16" i="3"/>
  <c r="A18" i="4"/>
  <c r="A58" i="1"/>
  <c r="A38" i="4"/>
  <c r="C63" i="4"/>
  <c r="B84" i="4"/>
  <c r="C83" i="4"/>
  <c r="B25" i="1"/>
  <c r="C24" i="1"/>
  <c r="B58" i="3"/>
  <c r="B59" i="3" s="1"/>
  <c r="C57" i="3"/>
  <c r="B64" i="4"/>
  <c r="A39" i="1" l="1"/>
  <c r="A19" i="4"/>
  <c r="A17" i="3"/>
  <c r="A59" i="1"/>
  <c r="A39" i="4"/>
  <c r="C84" i="4"/>
  <c r="C64" i="4"/>
  <c r="B26" i="1"/>
  <c r="C25" i="1"/>
  <c r="B85" i="4"/>
  <c r="C58" i="3"/>
  <c r="B65" i="4"/>
  <c r="A40" i="1" l="1"/>
  <c r="A20" i="4"/>
  <c r="A18" i="3"/>
  <c r="A60" i="1"/>
  <c r="A40" i="4"/>
  <c r="C65" i="4"/>
  <c r="C85" i="4"/>
  <c r="B86" i="4"/>
  <c r="B27" i="1"/>
  <c r="C26" i="1"/>
  <c r="B60" i="3"/>
  <c r="C59" i="3"/>
  <c r="B66" i="4"/>
  <c r="A61" i="1" l="1"/>
  <c r="A42" i="4" s="1"/>
  <c r="A41" i="4"/>
  <c r="A41" i="1"/>
  <c r="A19" i="3"/>
  <c r="A21" i="4"/>
  <c r="B87" i="4"/>
  <c r="C87" i="4"/>
  <c r="C86" i="4"/>
  <c r="C66" i="4"/>
  <c r="B28" i="1"/>
  <c r="C27" i="1"/>
  <c r="C60" i="3"/>
  <c r="B61" i="3"/>
  <c r="B67" i="4"/>
  <c r="A42" i="1" l="1"/>
  <c r="A20" i="3"/>
  <c r="A22" i="4"/>
  <c r="C88" i="4"/>
  <c r="B88" i="4"/>
  <c r="C67" i="4"/>
  <c r="B29" i="1"/>
  <c r="C28" i="1"/>
  <c r="C61" i="3"/>
  <c r="B62" i="3"/>
  <c r="B68" i="4"/>
  <c r="A43" i="1" l="1"/>
  <c r="A21" i="3"/>
  <c r="A23" i="4"/>
  <c r="B89" i="4"/>
  <c r="C68" i="4"/>
  <c r="C89" i="4"/>
  <c r="B30" i="1"/>
  <c r="C29" i="1"/>
  <c r="C62" i="3"/>
  <c r="B63" i="3"/>
  <c r="B69" i="4"/>
  <c r="A44" i="1" l="1"/>
  <c r="A22" i="3"/>
  <c r="A24" i="4"/>
  <c r="B90" i="4"/>
  <c r="C69" i="4"/>
  <c r="C90" i="4"/>
  <c r="B31" i="1"/>
  <c r="C30" i="1"/>
  <c r="B64" i="3"/>
  <c r="B65" i="3" s="1"/>
  <c r="C63" i="3"/>
  <c r="B70" i="4"/>
  <c r="A45" i="1" l="1"/>
  <c r="A25" i="4"/>
  <c r="A23" i="3"/>
  <c r="C70" i="4"/>
  <c r="B32" i="1"/>
  <c r="C31" i="1"/>
  <c r="C64" i="3"/>
  <c r="B71" i="4"/>
  <c r="D61" i="4"/>
  <c r="A46" i="1" l="1"/>
  <c r="A26" i="4"/>
  <c r="A24" i="3"/>
  <c r="E61" i="4"/>
  <c r="C71" i="4"/>
  <c r="B33" i="1"/>
  <c r="C33" i="1" s="1"/>
  <c r="D32" i="1"/>
  <c r="B13" i="4" s="1"/>
  <c r="C32" i="1"/>
  <c r="C65" i="3"/>
  <c r="B66" i="3"/>
  <c r="F61" i="4"/>
  <c r="H61" i="4" s="1"/>
  <c r="J61" i="4" s="1"/>
  <c r="D62" i="4"/>
  <c r="B72" i="4"/>
  <c r="A47" i="1" l="1"/>
  <c r="A25" i="3"/>
  <c r="A27" i="4"/>
  <c r="D13" i="4"/>
  <c r="C13" i="4"/>
  <c r="C72" i="4"/>
  <c r="E62" i="4"/>
  <c r="B34" i="1"/>
  <c r="F32" i="1"/>
  <c r="E32" i="1"/>
  <c r="D33" i="1"/>
  <c r="B14" i="4" s="1"/>
  <c r="C66" i="3"/>
  <c r="B67" i="3"/>
  <c r="D63" i="4"/>
  <c r="F62" i="4"/>
  <c r="H62" i="4" s="1"/>
  <c r="J62" i="4" s="1"/>
  <c r="B73" i="4"/>
  <c r="G61" i="4"/>
  <c r="I61" i="4" s="1"/>
  <c r="A48" i="1" l="1"/>
  <c r="A26" i="3"/>
  <c r="A28" i="4"/>
  <c r="D14" i="4"/>
  <c r="C14" i="4"/>
  <c r="C73" i="4"/>
  <c r="E63" i="4"/>
  <c r="B35" i="1"/>
  <c r="C34" i="1"/>
  <c r="E33" i="1"/>
  <c r="F33" i="1"/>
  <c r="D34" i="1"/>
  <c r="B15" i="4" s="1"/>
  <c r="C67" i="3"/>
  <c r="B68" i="3"/>
  <c r="B74" i="4"/>
  <c r="F63" i="4"/>
  <c r="H63" i="4" s="1"/>
  <c r="J63" i="4" s="1"/>
  <c r="D64" i="4"/>
  <c r="G62" i="4"/>
  <c r="I62" i="4" s="1"/>
  <c r="A49" i="1" l="1"/>
  <c r="A29" i="4"/>
  <c r="A27" i="3"/>
  <c r="D15" i="4"/>
  <c r="C15" i="4"/>
  <c r="C74" i="4"/>
  <c r="E64" i="4"/>
  <c r="F34" i="1"/>
  <c r="D35" i="1"/>
  <c r="B16" i="4" s="1"/>
  <c r="E34" i="1"/>
  <c r="B36" i="1"/>
  <c r="C35" i="1"/>
  <c r="B69" i="3"/>
  <c r="B70" i="3" s="1"/>
  <c r="C68" i="3"/>
  <c r="F64" i="4"/>
  <c r="H64" i="4" s="1"/>
  <c r="J64" i="4" s="1"/>
  <c r="G63" i="4"/>
  <c r="I63" i="4" s="1"/>
  <c r="B75" i="4"/>
  <c r="D65" i="4"/>
  <c r="A50" i="1" l="1"/>
  <c r="A30" i="4"/>
  <c r="A28" i="3"/>
  <c r="D16" i="4"/>
  <c r="C16" i="4"/>
  <c r="C75" i="4"/>
  <c r="E65" i="4"/>
  <c r="F35" i="1"/>
  <c r="D36" i="1"/>
  <c r="B17" i="4" s="1"/>
  <c r="E35" i="1"/>
  <c r="B37" i="1"/>
  <c r="C36" i="1"/>
  <c r="C69" i="3"/>
  <c r="D66" i="4"/>
  <c r="B76" i="4"/>
  <c r="F65" i="4"/>
  <c r="H65" i="4" s="1"/>
  <c r="J65" i="4" s="1"/>
  <c r="G64" i="4"/>
  <c r="I64" i="4" s="1"/>
  <c r="A51" i="1" l="1"/>
  <c r="A29" i="3"/>
  <c r="A31" i="4"/>
  <c r="D17" i="4"/>
  <c r="C17" i="4"/>
  <c r="E66" i="4"/>
  <c r="C76" i="4"/>
  <c r="B38" i="1"/>
  <c r="C37" i="1"/>
  <c r="F36" i="1"/>
  <c r="E36" i="1"/>
  <c r="D37" i="1"/>
  <c r="B18" i="4" s="1"/>
  <c r="B71" i="3"/>
  <c r="C70" i="3"/>
  <c r="F66" i="4"/>
  <c r="H66" i="4" s="1"/>
  <c r="J66" i="4" s="1"/>
  <c r="G65" i="4"/>
  <c r="I65" i="4" s="1"/>
  <c r="D67" i="4"/>
  <c r="B77" i="4"/>
  <c r="A32" i="4" l="1"/>
  <c r="A30" i="3"/>
  <c r="D18" i="4"/>
  <c r="C18" i="4"/>
  <c r="E67" i="4"/>
  <c r="C77" i="4"/>
  <c r="D38" i="1"/>
  <c r="B19" i="4" s="1"/>
  <c r="E37" i="1"/>
  <c r="F37" i="1"/>
  <c r="B39" i="1"/>
  <c r="C38" i="1"/>
  <c r="C71" i="3"/>
  <c r="B72" i="3"/>
  <c r="D68" i="4"/>
  <c r="B78" i="4"/>
  <c r="F67" i="4"/>
  <c r="H67" i="4" s="1"/>
  <c r="J67" i="4" s="1"/>
  <c r="G66" i="4"/>
  <c r="I66" i="4" s="1"/>
  <c r="E30" i="3" l="1"/>
  <c r="H30" i="3"/>
  <c r="B30" i="3"/>
  <c r="D19" i="4"/>
  <c r="C19" i="4"/>
  <c r="C78" i="4"/>
  <c r="E68" i="4"/>
  <c r="B40" i="1"/>
  <c r="C39" i="1"/>
  <c r="D39" i="1"/>
  <c r="B20" i="4" s="1"/>
  <c r="F38" i="1"/>
  <c r="E38" i="1"/>
  <c r="C72" i="3"/>
  <c r="B73" i="3"/>
  <c r="F68" i="4"/>
  <c r="H68" i="4" s="1"/>
  <c r="J68" i="4" s="1"/>
  <c r="G67" i="4"/>
  <c r="I67" i="4" s="1"/>
  <c r="B79" i="4"/>
  <c r="D69" i="4"/>
  <c r="B29" i="3" l="1"/>
  <c r="D30" i="3"/>
  <c r="H29" i="3"/>
  <c r="J30" i="3"/>
  <c r="G30" i="3"/>
  <c r="E29" i="3"/>
  <c r="D20" i="4"/>
  <c r="C20" i="4"/>
  <c r="E69" i="4"/>
  <c r="C79" i="4"/>
  <c r="D40" i="1"/>
  <c r="B21" i="4" s="1"/>
  <c r="F39" i="1"/>
  <c r="E39" i="1"/>
  <c r="B41" i="1"/>
  <c r="C40" i="1"/>
  <c r="G73" i="3"/>
  <c r="C73" i="3"/>
  <c r="D73" i="3"/>
  <c r="J73" i="3"/>
  <c r="D70" i="4"/>
  <c r="G68" i="4"/>
  <c r="I68" i="4" s="1"/>
  <c r="F69" i="4"/>
  <c r="H69" i="4" s="1"/>
  <c r="J69" i="4" s="1"/>
  <c r="B80" i="4"/>
  <c r="J29" i="3" l="1"/>
  <c r="H28" i="3"/>
  <c r="E28" i="3"/>
  <c r="G29" i="3"/>
  <c r="B28" i="3"/>
  <c r="D29" i="3"/>
  <c r="D21" i="4"/>
  <c r="C21" i="4"/>
  <c r="C80" i="4"/>
  <c r="E70" i="4"/>
  <c r="B42" i="1"/>
  <c r="C41" i="1"/>
  <c r="D41" i="1"/>
  <c r="B22" i="4" s="1"/>
  <c r="F40" i="1"/>
  <c r="E40" i="1"/>
  <c r="K73" i="3"/>
  <c r="J72" i="3"/>
  <c r="L73" i="3"/>
  <c r="F73" i="3"/>
  <c r="E73" i="3"/>
  <c r="D72" i="3"/>
  <c r="I73" i="3"/>
  <c r="H73" i="3"/>
  <c r="G72" i="3"/>
  <c r="F70" i="4"/>
  <c r="H70" i="4" s="1"/>
  <c r="J70" i="4" s="1"/>
  <c r="G69" i="4"/>
  <c r="I69" i="4" s="1"/>
  <c r="D71" i="4"/>
  <c r="E27" i="3" l="1"/>
  <c r="G28" i="3"/>
  <c r="D28" i="3"/>
  <c r="B27" i="3"/>
  <c r="H27" i="3"/>
  <c r="J28" i="3"/>
  <c r="D22" i="4"/>
  <c r="C22" i="4"/>
  <c r="E71" i="4"/>
  <c r="D42" i="1"/>
  <c r="B23" i="4" s="1"/>
  <c r="E41" i="1"/>
  <c r="F41" i="1"/>
  <c r="B43" i="1"/>
  <c r="C42" i="1"/>
  <c r="K72" i="3"/>
  <c r="J71" i="3"/>
  <c r="L72" i="3"/>
  <c r="F72" i="3"/>
  <c r="D71" i="3"/>
  <c r="E72" i="3"/>
  <c r="I72" i="3"/>
  <c r="G71" i="3"/>
  <c r="H72" i="3"/>
  <c r="F71" i="4"/>
  <c r="H71" i="4" s="1"/>
  <c r="J71" i="4" s="1"/>
  <c r="D72" i="4"/>
  <c r="G70" i="4"/>
  <c r="I70" i="4" s="1"/>
  <c r="H26" i="3" l="1"/>
  <c r="J27" i="3"/>
  <c r="D27" i="3"/>
  <c r="B26" i="3"/>
  <c r="G27" i="3"/>
  <c r="E26" i="3"/>
  <c r="D23" i="4"/>
  <c r="C23" i="4"/>
  <c r="E72" i="4"/>
  <c r="B44" i="1"/>
  <c r="C43" i="1"/>
  <c r="D43" i="1"/>
  <c r="B24" i="4" s="1"/>
  <c r="F42" i="1"/>
  <c r="E42" i="1"/>
  <c r="J70" i="3"/>
  <c r="L71" i="3"/>
  <c r="K71" i="3"/>
  <c r="H71" i="3"/>
  <c r="I71" i="3"/>
  <c r="G70" i="3"/>
  <c r="D70" i="3"/>
  <c r="F71" i="3"/>
  <c r="E71" i="3"/>
  <c r="D73" i="4"/>
  <c r="F72" i="4"/>
  <c r="H72" i="4" s="1"/>
  <c r="J72" i="4" s="1"/>
  <c r="G71" i="4"/>
  <c r="I71" i="4" s="1"/>
  <c r="G26" i="3" l="1"/>
  <c r="E25" i="3"/>
  <c r="B25" i="3"/>
  <c r="D26" i="3"/>
  <c r="J26" i="3"/>
  <c r="H25" i="3"/>
  <c r="D24" i="4"/>
  <c r="C24" i="4"/>
  <c r="E73" i="4"/>
  <c r="D44" i="1"/>
  <c r="B25" i="4" s="1"/>
  <c r="F43" i="1"/>
  <c r="E43" i="1"/>
  <c r="B45" i="1"/>
  <c r="C44" i="1"/>
  <c r="E70" i="3"/>
  <c r="D69" i="3"/>
  <c r="F70" i="3"/>
  <c r="G69" i="3"/>
  <c r="I70" i="3"/>
  <c r="H70" i="3"/>
  <c r="K70" i="3"/>
  <c r="J69" i="3"/>
  <c r="L70" i="3"/>
  <c r="G72" i="4"/>
  <c r="I72" i="4" s="1"/>
  <c r="D74" i="4"/>
  <c r="F73" i="4"/>
  <c r="H73" i="4" s="1"/>
  <c r="J73" i="4" s="1"/>
  <c r="B24" i="3" l="1"/>
  <c r="D25" i="3"/>
  <c r="H24" i="3"/>
  <c r="I24" i="3" s="1"/>
  <c r="J25" i="3"/>
  <c r="G25" i="3"/>
  <c r="E24" i="3"/>
  <c r="C24" i="3"/>
  <c r="D25" i="4"/>
  <c r="C25" i="4"/>
  <c r="E74" i="4"/>
  <c r="B46" i="1"/>
  <c r="C45" i="1"/>
  <c r="D45" i="1"/>
  <c r="B26" i="4" s="1"/>
  <c r="F44" i="1"/>
  <c r="E44" i="1"/>
  <c r="H69" i="3"/>
  <c r="G68" i="3"/>
  <c r="I69" i="3"/>
  <c r="E69" i="3"/>
  <c r="F69" i="3"/>
  <c r="D68" i="3"/>
  <c r="J68" i="3"/>
  <c r="K69" i="3"/>
  <c r="L69" i="3"/>
  <c r="F74" i="4"/>
  <c r="H74" i="4" s="1"/>
  <c r="J74" i="4" s="1"/>
  <c r="D75" i="4"/>
  <c r="G73" i="4"/>
  <c r="I73" i="4" s="1"/>
  <c r="G24" i="3" l="1"/>
  <c r="E23" i="3"/>
  <c r="H23" i="3"/>
  <c r="J24" i="3"/>
  <c r="F24" i="3"/>
  <c r="D24" i="3"/>
  <c r="B23" i="3"/>
  <c r="C25" i="3"/>
  <c r="I25" i="3"/>
  <c r="F25" i="3"/>
  <c r="D26" i="4"/>
  <c r="C26" i="4"/>
  <c r="E75" i="4"/>
  <c r="D46" i="1"/>
  <c r="B27" i="4" s="1"/>
  <c r="E45" i="1"/>
  <c r="F45" i="1"/>
  <c r="B47" i="1"/>
  <c r="C46" i="1"/>
  <c r="L68" i="3"/>
  <c r="J67" i="3"/>
  <c r="K68" i="3"/>
  <c r="D67" i="3"/>
  <c r="E68" i="3"/>
  <c r="F68" i="3"/>
  <c r="I68" i="3"/>
  <c r="H68" i="3"/>
  <c r="G67" i="3"/>
  <c r="G74" i="4"/>
  <c r="I74" i="4" s="1"/>
  <c r="D76" i="4"/>
  <c r="F75" i="4"/>
  <c r="H75" i="4" s="1"/>
  <c r="J75" i="4" s="1"/>
  <c r="J23" i="3" l="1"/>
  <c r="H22" i="3"/>
  <c r="I23" i="3"/>
  <c r="D23" i="3"/>
  <c r="B22" i="3"/>
  <c r="C23" i="3"/>
  <c r="G23" i="3"/>
  <c r="E22" i="3"/>
  <c r="F23" i="3"/>
  <c r="C26" i="3"/>
  <c r="I26" i="3"/>
  <c r="F26" i="3"/>
  <c r="D27" i="4"/>
  <c r="C27" i="4"/>
  <c r="E76" i="4"/>
  <c r="B48" i="1"/>
  <c r="C47" i="1"/>
  <c r="D47" i="1"/>
  <c r="B28" i="4" s="1"/>
  <c r="F46" i="1"/>
  <c r="E46" i="1"/>
  <c r="F67" i="3"/>
  <c r="D66" i="3"/>
  <c r="E67" i="3"/>
  <c r="K67" i="3"/>
  <c r="J66" i="3"/>
  <c r="L67" i="3"/>
  <c r="G66" i="3"/>
  <c r="I67" i="3"/>
  <c r="H67" i="3"/>
  <c r="G75" i="4"/>
  <c r="I75" i="4" s="1"/>
  <c r="D77" i="4"/>
  <c r="F76" i="4"/>
  <c r="H76" i="4" s="1"/>
  <c r="J76" i="4" s="1"/>
  <c r="D22" i="3" l="1"/>
  <c r="B21" i="3"/>
  <c r="C22" i="3"/>
  <c r="H21" i="3"/>
  <c r="J22" i="3"/>
  <c r="I22" i="3"/>
  <c r="G22" i="3"/>
  <c r="E21" i="3"/>
  <c r="F22" i="3"/>
  <c r="C27" i="3"/>
  <c r="I27" i="3"/>
  <c r="F27" i="3"/>
  <c r="D28" i="4"/>
  <c r="C28" i="4"/>
  <c r="E77" i="4"/>
  <c r="D48" i="1"/>
  <c r="B29" i="4" s="1"/>
  <c r="F47" i="1"/>
  <c r="E47" i="1"/>
  <c r="B49" i="1"/>
  <c r="C48" i="1"/>
  <c r="E66" i="3"/>
  <c r="D65" i="3"/>
  <c r="F66" i="3"/>
  <c r="I66" i="3"/>
  <c r="H66" i="3"/>
  <c r="G65" i="3"/>
  <c r="K66" i="3"/>
  <c r="L66" i="3"/>
  <c r="J65" i="3"/>
  <c r="F77" i="4"/>
  <c r="H77" i="4" s="1"/>
  <c r="J77" i="4" s="1"/>
  <c r="D78" i="4"/>
  <c r="G76" i="4"/>
  <c r="I76" i="4" s="1"/>
  <c r="E20" i="3" l="1"/>
  <c r="G21" i="3"/>
  <c r="F21" i="3"/>
  <c r="H20" i="3"/>
  <c r="J21" i="3"/>
  <c r="I21" i="3"/>
  <c r="B20" i="3"/>
  <c r="D21" i="3"/>
  <c r="C21" i="3"/>
  <c r="C28" i="3"/>
  <c r="I28" i="3"/>
  <c r="F28" i="3"/>
  <c r="D29" i="4"/>
  <c r="C29" i="4"/>
  <c r="E78" i="4"/>
  <c r="B50" i="1"/>
  <c r="C49" i="1"/>
  <c r="D49" i="1"/>
  <c r="B30" i="4" s="1"/>
  <c r="F48" i="1"/>
  <c r="E48" i="1"/>
  <c r="H65" i="3"/>
  <c r="G64" i="3"/>
  <c r="I65" i="3"/>
  <c r="E65" i="3"/>
  <c r="F65" i="3"/>
  <c r="D64" i="3"/>
  <c r="L65" i="3"/>
  <c r="J64" i="3"/>
  <c r="K65" i="3"/>
  <c r="G77" i="4"/>
  <c r="I77" i="4" s="1"/>
  <c r="D79" i="4"/>
  <c r="F78" i="4"/>
  <c r="H78" i="4" s="1"/>
  <c r="J78" i="4" s="1"/>
  <c r="B19" i="3" l="1"/>
  <c r="D20" i="3"/>
  <c r="C20" i="3"/>
  <c r="J20" i="3"/>
  <c r="H19" i="3"/>
  <c r="I20" i="3"/>
  <c r="G20" i="3"/>
  <c r="E19" i="3"/>
  <c r="F20" i="3"/>
  <c r="B51" i="1"/>
  <c r="C29" i="3"/>
  <c r="I29" i="3"/>
  <c r="F29" i="3"/>
  <c r="D30" i="4"/>
  <c r="C30" i="4"/>
  <c r="E79" i="4"/>
  <c r="D50" i="1"/>
  <c r="B31" i="4" s="1"/>
  <c r="E49" i="1"/>
  <c r="F49" i="1"/>
  <c r="C50" i="1"/>
  <c r="I64" i="3"/>
  <c r="G63" i="3"/>
  <c r="H64" i="3"/>
  <c r="J63" i="3"/>
  <c r="L64" i="3"/>
  <c r="K64" i="3"/>
  <c r="E64" i="3"/>
  <c r="D63" i="3"/>
  <c r="F64" i="3"/>
  <c r="G78" i="4"/>
  <c r="I78" i="4" s="1"/>
  <c r="F79" i="4"/>
  <c r="H79" i="4" s="1"/>
  <c r="J79" i="4" s="1"/>
  <c r="D80" i="4"/>
  <c r="H18" i="3" l="1"/>
  <c r="J19" i="3"/>
  <c r="I19" i="3"/>
  <c r="E18" i="3"/>
  <c r="G19" i="3"/>
  <c r="F19" i="3"/>
  <c r="B18" i="3"/>
  <c r="D19" i="3"/>
  <c r="C19" i="3"/>
  <c r="C30" i="3"/>
  <c r="I30" i="3"/>
  <c r="F30" i="3"/>
  <c r="D31" i="4"/>
  <c r="C31" i="4"/>
  <c r="E80" i="4"/>
  <c r="B52" i="1"/>
  <c r="C51" i="1"/>
  <c r="D51" i="1"/>
  <c r="B32" i="4" s="1"/>
  <c r="F50" i="1"/>
  <c r="E50" i="1"/>
  <c r="AH159" i="5"/>
  <c r="L63" i="3"/>
  <c r="K63" i="3"/>
  <c r="J62" i="3"/>
  <c r="H63" i="3"/>
  <c r="G62" i="3"/>
  <c r="I63" i="3"/>
  <c r="D62" i="3"/>
  <c r="E63" i="3"/>
  <c r="F63" i="3"/>
  <c r="F80" i="4"/>
  <c r="H80" i="4" s="1"/>
  <c r="J80" i="4" s="1"/>
  <c r="D81" i="4"/>
  <c r="G79" i="4"/>
  <c r="I79" i="4" s="1"/>
  <c r="B17" i="3" l="1"/>
  <c r="D18" i="3"/>
  <c r="C18" i="3"/>
  <c r="E17" i="3"/>
  <c r="G18" i="3"/>
  <c r="F18" i="3"/>
  <c r="H17" i="3"/>
  <c r="J18" i="3"/>
  <c r="I18" i="3"/>
  <c r="C31" i="3"/>
  <c r="I31" i="3"/>
  <c r="F31" i="3"/>
  <c r="D32" i="4"/>
  <c r="C32" i="4"/>
  <c r="E9" i="1"/>
  <c r="C52" i="1"/>
  <c r="D52" i="1"/>
  <c r="F51" i="1"/>
  <c r="E51" i="1"/>
  <c r="B53" i="1"/>
  <c r="F62" i="3"/>
  <c r="E62" i="3"/>
  <c r="D61" i="3"/>
  <c r="K62" i="3"/>
  <c r="J61" i="3"/>
  <c r="L62" i="3"/>
  <c r="H62" i="3"/>
  <c r="I62" i="3"/>
  <c r="G61" i="3"/>
  <c r="G80" i="4"/>
  <c r="I80" i="4" s="1"/>
  <c r="E81" i="4"/>
  <c r="F81" i="4"/>
  <c r="D82" i="4"/>
  <c r="J17" i="3" l="1"/>
  <c r="H16" i="3"/>
  <c r="I17" i="3"/>
  <c r="E16" i="3"/>
  <c r="G17" i="3"/>
  <c r="F17" i="3"/>
  <c r="B16" i="3"/>
  <c r="D17" i="3"/>
  <c r="C17" i="3"/>
  <c r="E82" i="4"/>
  <c r="B8" i="4"/>
  <c r="B33" i="4"/>
  <c r="B54" i="1"/>
  <c r="C53" i="1"/>
  <c r="D53" i="1"/>
  <c r="B34" i="4" s="1"/>
  <c r="F52" i="1"/>
  <c r="E52" i="1"/>
  <c r="D60" i="3"/>
  <c r="F61" i="3"/>
  <c r="E61" i="3"/>
  <c r="G60" i="3"/>
  <c r="I61" i="3"/>
  <c r="H61" i="3"/>
  <c r="K61" i="3"/>
  <c r="L61" i="3"/>
  <c r="J60" i="3"/>
  <c r="D83" i="4"/>
  <c r="G81" i="4"/>
  <c r="H81" i="4"/>
  <c r="J81" i="4" s="1"/>
  <c r="F93" i="4"/>
  <c r="H93" i="4" s="1"/>
  <c r="J93" i="4" s="1"/>
  <c r="F82" i="4"/>
  <c r="H82" i="4" s="1"/>
  <c r="J82" i="4" s="1"/>
  <c r="G16" i="3" l="1"/>
  <c r="E15" i="3"/>
  <c r="F16" i="3"/>
  <c r="J16" i="3"/>
  <c r="H15" i="3"/>
  <c r="I16" i="3"/>
  <c r="B15" i="3"/>
  <c r="D16" i="3"/>
  <c r="C16" i="3"/>
  <c r="D8" i="4"/>
  <c r="C8" i="4"/>
  <c r="D34" i="4"/>
  <c r="C34" i="4"/>
  <c r="D33" i="4"/>
  <c r="C33" i="4"/>
  <c r="E83" i="4"/>
  <c r="D54" i="1"/>
  <c r="B35" i="4" s="1"/>
  <c r="E53" i="1"/>
  <c r="F53" i="1"/>
  <c r="B55" i="1"/>
  <c r="C54" i="1"/>
  <c r="H60" i="3"/>
  <c r="G59" i="3"/>
  <c r="I60" i="3"/>
  <c r="J59" i="3"/>
  <c r="K60" i="3"/>
  <c r="L60" i="3"/>
  <c r="F60" i="3"/>
  <c r="D59" i="3"/>
  <c r="E60" i="3"/>
  <c r="F83" i="4"/>
  <c r="H83" i="4" s="1"/>
  <c r="J83" i="4" s="1"/>
  <c r="G82" i="4"/>
  <c r="I82" i="4" s="1"/>
  <c r="I81" i="4"/>
  <c r="G93" i="4"/>
  <c r="I93" i="4" s="1"/>
  <c r="D84" i="4"/>
  <c r="B14" i="3" l="1"/>
  <c r="D15" i="3"/>
  <c r="C15" i="3"/>
  <c r="J15" i="3"/>
  <c r="H14" i="3"/>
  <c r="I15" i="3"/>
  <c r="G15" i="3"/>
  <c r="E14" i="3"/>
  <c r="F15" i="3"/>
  <c r="D35" i="4"/>
  <c r="C35" i="4"/>
  <c r="E84" i="4"/>
  <c r="B56" i="1"/>
  <c r="C55" i="1"/>
  <c r="D55" i="1"/>
  <c r="B36" i="4" s="1"/>
  <c r="F54" i="1"/>
  <c r="E54" i="1"/>
  <c r="I59" i="3"/>
  <c r="G58" i="3"/>
  <c r="H59" i="3"/>
  <c r="F59" i="3"/>
  <c r="D58" i="3"/>
  <c r="E59" i="3"/>
  <c r="L59" i="3"/>
  <c r="K59" i="3"/>
  <c r="J58" i="3"/>
  <c r="F84" i="4"/>
  <c r="H84" i="4" s="1"/>
  <c r="J84" i="4" s="1"/>
  <c r="G83" i="4"/>
  <c r="I83" i="4" s="1"/>
  <c r="D85" i="4"/>
  <c r="I14" i="3" l="1"/>
  <c r="H13" i="3"/>
  <c r="J14" i="3"/>
  <c r="F14" i="3"/>
  <c r="G14" i="3"/>
  <c r="E13" i="3"/>
  <c r="B13" i="3"/>
  <c r="D14" i="3"/>
  <c r="C14" i="3"/>
  <c r="D36" i="4"/>
  <c r="C36" i="4"/>
  <c r="E85" i="4"/>
  <c r="B57" i="1"/>
  <c r="C56" i="1"/>
  <c r="D56" i="1"/>
  <c r="B37" i="4" s="1"/>
  <c r="F55" i="1"/>
  <c r="E55" i="1"/>
  <c r="I58" i="3"/>
  <c r="H58" i="3"/>
  <c r="G57" i="3"/>
  <c r="K58" i="3"/>
  <c r="L58" i="3"/>
  <c r="J57" i="3"/>
  <c r="F58" i="3"/>
  <c r="E58" i="3"/>
  <c r="D57" i="3"/>
  <c r="G84" i="4"/>
  <c r="I84" i="4" s="1"/>
  <c r="D86" i="4"/>
  <c r="F85" i="4"/>
  <c r="H85" i="4" s="1"/>
  <c r="J85" i="4" s="1"/>
  <c r="C13" i="3" l="1"/>
  <c r="B12" i="3"/>
  <c r="D13" i="3"/>
  <c r="F13" i="3"/>
  <c r="G13" i="3"/>
  <c r="E12" i="3"/>
  <c r="I13" i="3"/>
  <c r="J13" i="3"/>
  <c r="H12" i="3"/>
  <c r="D37" i="4"/>
  <c r="C37" i="4"/>
  <c r="E86" i="4"/>
  <c r="D57" i="1"/>
  <c r="B38" i="4" s="1"/>
  <c r="F56" i="1"/>
  <c r="E56" i="1"/>
  <c r="B58" i="1"/>
  <c r="C57" i="1"/>
  <c r="H57" i="3"/>
  <c r="I57" i="3"/>
  <c r="G56" i="3"/>
  <c r="J56" i="3"/>
  <c r="K57" i="3"/>
  <c r="L57" i="3"/>
  <c r="E57" i="3"/>
  <c r="F57" i="3"/>
  <c r="D56" i="3"/>
  <c r="D87" i="4"/>
  <c r="G85" i="4"/>
  <c r="I85" i="4" s="1"/>
  <c r="F86" i="4"/>
  <c r="H86" i="4" s="1"/>
  <c r="J86" i="4" s="1"/>
  <c r="F12" i="3" l="1"/>
  <c r="E11" i="3"/>
  <c r="G12" i="3"/>
  <c r="C12" i="3"/>
  <c r="B11" i="3"/>
  <c r="D12" i="3"/>
  <c r="I12" i="3"/>
  <c r="H11" i="3"/>
  <c r="J12" i="3"/>
  <c r="D38" i="4"/>
  <c r="C38" i="4"/>
  <c r="E87" i="4"/>
  <c r="B59" i="1"/>
  <c r="C58" i="1"/>
  <c r="D58" i="1"/>
  <c r="B39" i="4" s="1"/>
  <c r="E57" i="1"/>
  <c r="F57" i="1"/>
  <c r="J55" i="3"/>
  <c r="K56" i="3"/>
  <c r="L56" i="3"/>
  <c r="H56" i="3"/>
  <c r="I56" i="3"/>
  <c r="G55" i="3"/>
  <c r="D55" i="3"/>
  <c r="E56" i="3"/>
  <c r="F56" i="3"/>
  <c r="D88" i="4"/>
  <c r="F87" i="4"/>
  <c r="H87" i="4" s="1"/>
  <c r="J87" i="4" s="1"/>
  <c r="G86" i="4"/>
  <c r="I86" i="4" s="1"/>
  <c r="I11" i="3" l="1"/>
  <c r="J11" i="3"/>
  <c r="D11" i="3"/>
  <c r="C11" i="3"/>
  <c r="G11" i="3"/>
  <c r="F11" i="3"/>
  <c r="D39" i="4"/>
  <c r="C39" i="4"/>
  <c r="E88" i="4"/>
  <c r="D59" i="1"/>
  <c r="B40" i="4" s="1"/>
  <c r="F58" i="1"/>
  <c r="E58" i="1"/>
  <c r="B60" i="1"/>
  <c r="C59" i="1"/>
  <c r="G54" i="3"/>
  <c r="I55" i="3"/>
  <c r="H55" i="3"/>
  <c r="E55" i="3"/>
  <c r="D54" i="3"/>
  <c r="AH158" i="5" s="1"/>
  <c r="F55" i="3"/>
  <c r="L55" i="3"/>
  <c r="J54" i="3"/>
  <c r="K55" i="3"/>
  <c r="F88" i="4"/>
  <c r="H88" i="4" s="1"/>
  <c r="J88" i="4" s="1"/>
  <c r="G87" i="4"/>
  <c r="I87" i="4" s="1"/>
  <c r="D89" i="4"/>
  <c r="D40" i="4" l="1"/>
  <c r="C40" i="4"/>
  <c r="E89" i="4"/>
  <c r="B61" i="1"/>
  <c r="C60" i="1"/>
  <c r="D60" i="1"/>
  <c r="B41" i="4" s="1"/>
  <c r="F59" i="1"/>
  <c r="E59" i="1"/>
  <c r="L54" i="3"/>
  <c r="K54" i="3"/>
  <c r="E54" i="3"/>
  <c r="AI33" i="5" s="1"/>
  <c r="F54" i="3"/>
  <c r="I54" i="3"/>
  <c r="H54" i="3"/>
  <c r="F89" i="4"/>
  <c r="H89" i="4" s="1"/>
  <c r="J89" i="4" s="1"/>
  <c r="D90" i="4"/>
  <c r="G88" i="4"/>
  <c r="I88" i="4" s="1"/>
  <c r="D41" i="4" l="1"/>
  <c r="C41" i="4"/>
  <c r="E90" i="4"/>
  <c r="D61" i="1"/>
  <c r="B42" i="4" s="1"/>
  <c r="F60" i="1"/>
  <c r="E60" i="1"/>
  <c r="B62" i="1"/>
  <c r="C62" i="1" s="1"/>
  <c r="C61" i="1"/>
  <c r="D91" i="4"/>
  <c r="F90" i="4"/>
  <c r="H90" i="4" s="1"/>
  <c r="J90" i="4" s="1"/>
  <c r="G89" i="4"/>
  <c r="I89" i="4" s="1"/>
  <c r="D42" i="4" l="1"/>
  <c r="C42" i="4"/>
  <c r="E91" i="4"/>
  <c r="D62" i="1"/>
  <c r="B43" i="4" s="1"/>
  <c r="E61" i="1"/>
  <c r="F61" i="1"/>
  <c r="F91" i="4"/>
  <c r="H91" i="4" s="1"/>
  <c r="J91" i="4" s="1"/>
  <c r="G90" i="4"/>
  <c r="I90" i="4" s="1"/>
  <c r="D43" i="4" l="1"/>
  <c r="C43" i="4"/>
  <c r="F62" i="1"/>
  <c r="E62" i="1"/>
  <c r="G91" i="4"/>
  <c r="I91" i="4" s="1"/>
</calcChain>
</file>

<file path=xl/sharedStrings.xml><?xml version="1.0" encoding="utf-8"?>
<sst xmlns="http://schemas.openxmlformats.org/spreadsheetml/2006/main" count="160" uniqueCount="68">
  <si>
    <t>units</t>
  </si>
  <si>
    <t>feet</t>
  </si>
  <si>
    <t>meters</t>
  </si>
  <si>
    <t>Water Depth</t>
  </si>
  <si>
    <t>Total Depth</t>
  </si>
  <si>
    <t>Reservoir Depth</t>
  </si>
  <si>
    <t>PSI</t>
  </si>
  <si>
    <t>MPa</t>
  </si>
  <si>
    <t>Plotting Hydrostatic Pressure and Lithostatic Pressure</t>
  </si>
  <si>
    <t>Gradients</t>
  </si>
  <si>
    <t>psi/ft</t>
  </si>
  <si>
    <t>kg/m^3</t>
  </si>
  <si>
    <r>
      <t>Mud Weight (</t>
    </r>
    <r>
      <rPr>
        <i/>
        <sz val="11"/>
        <color theme="1"/>
        <rFont val="Calibri"/>
        <family val="2"/>
        <scheme val="minor"/>
      </rPr>
      <t>PPG</t>
    </r>
    <r>
      <rPr>
        <sz val="11"/>
        <color theme="1"/>
        <rFont val="Calibri"/>
        <family val="2"/>
        <scheme val="minor"/>
      </rPr>
      <t>)</t>
    </r>
  </si>
  <si>
    <t>MPa/km</t>
  </si>
  <si>
    <t>Lithostatic Stress</t>
  </si>
  <si>
    <t>Legend</t>
  </si>
  <si>
    <t>Cells to enter data into</t>
  </si>
  <si>
    <t>Depth</t>
  </si>
  <si>
    <t>Hydrostatic Pressure</t>
  </si>
  <si>
    <t>Hydro</t>
  </si>
  <si>
    <t>Litho</t>
  </si>
  <si>
    <t>Pressure in Wellbore with various Fluids</t>
  </si>
  <si>
    <t>Oil</t>
  </si>
  <si>
    <t>Gas</t>
  </si>
  <si>
    <t>Water</t>
  </si>
  <si>
    <t>Input Gradients</t>
  </si>
  <si>
    <t>PPG</t>
  </si>
  <si>
    <t>Fluid</t>
  </si>
  <si>
    <t>Estimation of Least Prinicipal Stress</t>
  </si>
  <si>
    <t>Ko</t>
  </si>
  <si>
    <t>Assuming Pore Pressure = Hydrostatic Pressure</t>
  </si>
  <si>
    <t>Pore Pressure</t>
  </si>
  <si>
    <t>Least Principal Stress</t>
  </si>
  <si>
    <t>Measured Pore Pressure</t>
  </si>
  <si>
    <t>Overpressure</t>
  </si>
  <si>
    <t>u*</t>
  </si>
  <si>
    <t>Gas Reservoir Pressures</t>
  </si>
  <si>
    <t>----</t>
  </si>
  <si>
    <t>Key Depths</t>
  </si>
  <si>
    <t>Drop down list to change units (click cell to activate list)</t>
  </si>
  <si>
    <t>FEET &amp; PSI</t>
  </si>
  <si>
    <t>METERS and MPa</t>
  </si>
  <si>
    <t>Reservoir</t>
  </si>
  <si>
    <t>Pressure</t>
  </si>
  <si>
    <t>Mud Weight</t>
  </si>
  <si>
    <t>Reservoir Information</t>
  </si>
  <si>
    <t>Raw Calculations</t>
  </si>
  <si>
    <t>Sediment Water</t>
  </si>
  <si>
    <t>Water Column</t>
  </si>
  <si>
    <t>Lithostatic</t>
  </si>
  <si>
    <t>Seafloor</t>
  </si>
  <si>
    <t>Total</t>
  </si>
  <si>
    <t>At Reservoir Pressure</t>
  </si>
  <si>
    <t>Least Principal Stress from Reservoir Pressure</t>
  </si>
  <si>
    <t>Reservoir Pressure</t>
  </si>
  <si>
    <t>Gas Phase Pressure</t>
  </si>
  <si>
    <t>Oil Phase Pressure</t>
  </si>
  <si>
    <t>Water Phase Pressure</t>
  </si>
  <si>
    <t>Do you want to use FEET/PSI or METERS/Mpa?</t>
  </si>
  <si>
    <t>Scroll to the Right</t>
  </si>
  <si>
    <t xml:space="preserve">Gas Reservoir Pressures </t>
  </si>
  <si>
    <r>
      <t>(u</t>
    </r>
    <r>
      <rPr>
        <vertAlign val="subscript"/>
        <sz val="11"/>
        <color rgb="FF000000"/>
        <rFont val="Calibri"/>
        <family val="2"/>
      </rPr>
      <t>gas</t>
    </r>
    <r>
      <rPr>
        <sz val="11"/>
        <color rgb="FF000000"/>
        <rFont val="Calibri"/>
        <family val="2"/>
      </rPr>
      <t>)</t>
    </r>
  </si>
  <si>
    <r>
      <t>Overpressure (u*</t>
    </r>
    <r>
      <rPr>
        <b/>
        <vertAlign val="subscript"/>
        <sz val="11"/>
        <color rgb="FF000000"/>
        <rFont val="Calibri"/>
        <family val="2"/>
      </rPr>
      <t>gas</t>
    </r>
    <r>
      <rPr>
        <b/>
        <sz val="11"/>
        <color rgb="FF000000"/>
        <rFont val="Calibri"/>
        <family val="2"/>
      </rPr>
      <t>)</t>
    </r>
  </si>
  <si>
    <r>
      <t>(u</t>
    </r>
    <r>
      <rPr>
        <vertAlign val="subscript"/>
        <sz val="11"/>
        <color rgb="FF000000"/>
        <rFont val="Calibri"/>
        <family val="2"/>
      </rPr>
      <t>gas</t>
    </r>
    <r>
      <rPr>
        <sz val="11"/>
        <color rgb="FF000000"/>
        <rFont val="Calibri"/>
        <family val="2"/>
      </rPr>
      <t xml:space="preserve"> - u</t>
    </r>
    <r>
      <rPr>
        <vertAlign val="subscript"/>
        <sz val="11"/>
        <color rgb="FF000000"/>
        <rFont val="Calibri"/>
        <family val="2"/>
      </rPr>
      <t>h</t>
    </r>
    <r>
      <rPr>
        <sz val="11"/>
        <color rgb="FF000000"/>
        <rFont val="Calibri"/>
        <family val="2"/>
      </rPr>
      <t>)</t>
    </r>
  </si>
  <si>
    <r>
      <t>Hydrostatic (u</t>
    </r>
    <r>
      <rPr>
        <vertAlign val="subscript"/>
        <sz val="11"/>
        <color rgb="FF000000"/>
        <rFont val="Calibri"/>
        <family val="2"/>
      </rPr>
      <t>h</t>
    </r>
    <r>
      <rPr>
        <sz val="11"/>
        <color rgb="FF000000"/>
        <rFont val="Calibri"/>
        <family val="2"/>
      </rPr>
      <t>)</t>
    </r>
  </si>
  <si>
    <r>
      <t>Lithostatic (σ</t>
    </r>
    <r>
      <rPr>
        <vertAlign val="subscript"/>
        <sz val="11"/>
        <color rgb="FF000000"/>
        <rFont val="Calibri"/>
        <family val="2"/>
      </rPr>
      <t>v</t>
    </r>
    <r>
      <rPr>
        <sz val="11"/>
        <color rgb="FF000000"/>
        <rFont val="Calibri"/>
        <family val="2"/>
      </rPr>
      <t>)</t>
    </r>
  </si>
  <si>
    <r>
      <t>(σ</t>
    </r>
    <r>
      <rPr>
        <vertAlign val="subscript"/>
        <sz val="11"/>
        <color rgb="FF000000"/>
        <rFont val="Calibri"/>
        <family val="2"/>
      </rPr>
      <t>v</t>
    </r>
    <r>
      <rPr>
        <sz val="11"/>
        <color rgb="FF000000"/>
        <rFont val="Calibri"/>
        <family val="2"/>
      </rPr>
      <t xml:space="preserve"> - u</t>
    </r>
    <r>
      <rPr>
        <vertAlign val="subscript"/>
        <sz val="11"/>
        <color rgb="FF000000"/>
        <rFont val="Calibri"/>
        <family val="2"/>
      </rPr>
      <t>h</t>
    </r>
    <r>
      <rPr>
        <sz val="11"/>
        <color rgb="FF000000"/>
        <rFont val="Calibri"/>
        <family val="2"/>
      </rPr>
      <t>)</t>
    </r>
  </si>
  <si>
    <t>Hydrostatic Effective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</si>
</sst>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vertAlign val="subscript"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vertAlign val="subscript"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482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/>
    </xf>
    <xf numFmtId="0" fontId="6" fillId="7" borderId="0" xfId="0" applyFont="1" applyFill="1" applyAlignment="1">
      <alignment horizontal="center"/>
    </xf>
    <xf numFmtId="1" fontId="0" fillId="7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2" fontId="0" fillId="7" borderId="1" xfId="1" applyNumberFormat="1" applyFont="1" applyFill="1" applyBorder="1" applyAlignment="1">
      <alignment horizontal="center" vertical="center"/>
    </xf>
    <xf numFmtId="0" fontId="0" fillId="7" borderId="0" xfId="0" applyFill="1"/>
    <xf numFmtId="0" fontId="2" fillId="7" borderId="0" xfId="0" applyFont="1" applyFill="1"/>
    <xf numFmtId="0" fontId="0" fillId="7" borderId="0" xfId="0" applyFill="1" applyBorder="1" applyAlignment="1"/>
    <xf numFmtId="0" fontId="6" fillId="7" borderId="0" xfId="0" applyFon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0" fontId="2" fillId="8" borderId="0" xfId="0" applyFont="1" applyFill="1"/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7" fillId="7" borderId="0" xfId="0" applyFont="1" applyFill="1" applyAlignment="1"/>
    <xf numFmtId="0" fontId="2" fillId="7" borderId="1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left" vertical="center"/>
    </xf>
    <xf numFmtId="0" fontId="2" fillId="7" borderId="0" xfId="0" applyFont="1" applyFill="1" applyAlignment="1"/>
    <xf numFmtId="0" fontId="0" fillId="9" borderId="1" xfId="0" applyFont="1" applyFill="1" applyBorder="1" applyAlignment="1">
      <alignment horizontal="left"/>
    </xf>
    <xf numFmtId="0" fontId="0" fillId="10" borderId="1" xfId="0" applyFont="1" applyFill="1" applyBorder="1" applyAlignment="1">
      <alignment horizontal="left"/>
    </xf>
    <xf numFmtId="0" fontId="0" fillId="12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11" borderId="1" xfId="1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0" xfId="1" applyFont="1" applyFill="1" applyBorder="1" applyAlignment="1">
      <alignment vertical="center"/>
    </xf>
    <xf numFmtId="2" fontId="0" fillId="7" borderId="0" xfId="0" applyNumberFormat="1" applyFill="1" applyBorder="1" applyAlignment="1">
      <alignment horizontal="center"/>
    </xf>
    <xf numFmtId="2" fontId="0" fillId="7" borderId="0" xfId="1" applyNumberFormat="1" applyFont="1" applyFill="1" applyBorder="1" applyAlignment="1">
      <alignment horizontal="center" vertical="center"/>
    </xf>
    <xf numFmtId="0" fontId="1" fillId="7" borderId="0" xfId="1" applyFont="1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1" fontId="0" fillId="12" borderId="1" xfId="0" applyNumberForma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 vertical="center"/>
    </xf>
    <xf numFmtId="0" fontId="2" fillId="7" borderId="0" xfId="0" applyFont="1" applyFill="1" applyAlignment="1">
      <alignment vertical="center"/>
    </xf>
    <xf numFmtId="1" fontId="0" fillId="10" borderId="1" xfId="0" applyNumberFormat="1" applyFill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1" fontId="0" fillId="9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2" fontId="0" fillId="12" borderId="1" xfId="0" applyNumberFormat="1" applyFill="1" applyBorder="1" applyAlignment="1">
      <alignment horizontal="center" vertical="center"/>
    </xf>
    <xf numFmtId="0" fontId="9" fillId="7" borderId="0" xfId="0" applyFont="1" applyFill="1" applyAlignment="1"/>
    <xf numFmtId="0" fontId="11" fillId="7" borderId="0" xfId="0" applyFont="1" applyFill="1"/>
    <xf numFmtId="0" fontId="9" fillId="7" borderId="14" xfId="0" applyFont="1" applyFill="1" applyBorder="1" applyAlignment="1"/>
    <xf numFmtId="0" fontId="11" fillId="7" borderId="14" xfId="0" applyFont="1" applyFill="1" applyBorder="1" applyAlignment="1"/>
    <xf numFmtId="0" fontId="13" fillId="7" borderId="14" xfId="0" applyFont="1" applyFill="1" applyBorder="1" applyAlignment="1">
      <alignment horizontal="center"/>
    </xf>
    <xf numFmtId="0" fontId="13" fillId="7" borderId="14" xfId="0" applyFont="1" applyFill="1" applyBorder="1" applyAlignment="1"/>
    <xf numFmtId="0" fontId="0" fillId="7" borderId="14" xfId="0" applyFill="1" applyBorder="1"/>
    <xf numFmtId="0" fontId="11" fillId="7" borderId="14" xfId="0" applyFont="1" applyFill="1" applyBorder="1"/>
    <xf numFmtId="0" fontId="11" fillId="7" borderId="8" xfId="0" applyFont="1" applyFill="1" applyBorder="1"/>
    <xf numFmtId="0" fontId="0" fillId="7" borderId="11" xfId="0" applyFill="1" applyBorder="1"/>
    <xf numFmtId="0" fontId="0" fillId="7" borderId="10" xfId="0" applyFill="1" applyBorder="1"/>
    <xf numFmtId="0" fontId="11" fillId="7" borderId="0" xfId="0" applyFont="1" applyFill="1" applyBorder="1" applyAlignment="1"/>
    <xf numFmtId="0" fontId="0" fillId="7" borderId="0" xfId="0" applyFill="1" applyBorder="1"/>
    <xf numFmtId="0" fontId="11" fillId="7" borderId="0" xfId="0" applyFont="1" applyFill="1" applyBorder="1"/>
    <xf numFmtId="0" fontId="0" fillId="7" borderId="12" xfId="0" applyFill="1" applyBorder="1"/>
    <xf numFmtId="0" fontId="13" fillId="7" borderId="0" xfId="0" applyFont="1" applyFill="1" applyBorder="1" applyAlignment="1">
      <alignment vertical="center"/>
    </xf>
    <xf numFmtId="0" fontId="0" fillId="7" borderId="11" xfId="0" applyFill="1" applyBorder="1" applyAlignment="1">
      <alignment horizontal="center"/>
    </xf>
    <xf numFmtId="0" fontId="0" fillId="7" borderId="0" xfId="0" applyFill="1" applyBorder="1" applyAlignment="1">
      <alignment horizontal="left"/>
    </xf>
    <xf numFmtId="0" fontId="0" fillId="7" borderId="14" xfId="0" applyFill="1" applyBorder="1" applyAlignment="1"/>
    <xf numFmtId="0" fontId="0" fillId="7" borderId="8" xfId="0" applyFill="1" applyBorder="1" applyAlignment="1">
      <alignment horizontal="center"/>
    </xf>
    <xf numFmtId="0" fontId="0" fillId="7" borderId="12" xfId="0" applyFill="1" applyBorder="1" applyAlignment="1">
      <alignment horizontal="left"/>
    </xf>
    <xf numFmtId="0" fontId="0" fillId="7" borderId="10" xfId="0" applyFill="1" applyBorder="1" applyAlignment="1">
      <alignment horizontal="left"/>
    </xf>
    <xf numFmtId="0" fontId="6" fillId="7" borderId="0" xfId="1" applyFont="1" applyFill="1" applyBorder="1" applyAlignment="1">
      <alignment horizontal="center" vertical="center"/>
    </xf>
    <xf numFmtId="1" fontId="1" fillId="7" borderId="0" xfId="1" applyNumberFormat="1" applyFont="1" applyFill="1" applyBorder="1" applyAlignment="1">
      <alignment horizontal="center" vertical="center"/>
    </xf>
    <xf numFmtId="164" fontId="1" fillId="7" borderId="0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 vertical="center"/>
    </xf>
    <xf numFmtId="0" fontId="0" fillId="7" borderId="1" xfId="1" applyFont="1" applyFill="1" applyBorder="1" applyAlignment="1">
      <alignment horizontal="left" vertical="center"/>
    </xf>
    <xf numFmtId="0" fontId="1" fillId="7" borderId="1" xfId="1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1" fillId="7" borderId="0" xfId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left" vertical="top" wrapText="1"/>
    </xf>
    <xf numFmtId="0" fontId="13" fillId="7" borderId="7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1" fontId="9" fillId="8" borderId="1" xfId="1" applyNumberFormat="1" applyFont="1" applyFill="1" applyBorder="1" applyAlignment="1">
      <alignment horizontal="center" vertical="center"/>
    </xf>
    <xf numFmtId="0" fontId="2" fillId="7" borderId="0" xfId="1" applyFont="1" applyFill="1" applyBorder="1" applyAlignment="1">
      <alignment horizontal="center" vertical="center"/>
    </xf>
    <xf numFmtId="0" fontId="0" fillId="7" borderId="0" xfId="0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center" vertical="top" wrapText="1"/>
    </xf>
    <xf numFmtId="0" fontId="0" fillId="11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48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Normal" xfId="0" builtinId="0"/>
    <cellStyle name="Normal 2" xfId="1" xr:uid="{00000000-0005-0000-0000-0000E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2938711625"/>
          <c:y val="5.4383347881439198E-2"/>
          <c:w val="0.83386990786520199"/>
          <c:h val="0.83938490341363003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Hydro_Litho_Pp!$AJ$5:$AJ$8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1F-4C30-BBFA-1B007791EE5F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1F-4C30-BBFA-1B007791EE5F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Hydro_Litho_Pp!$AI$32</c:f>
              <c:numCache>
                <c:formatCode>General</c:formatCode>
                <c:ptCount val="1"/>
              </c:numCache>
            </c:numRef>
          </c:xVal>
          <c:yVal>
            <c:numRef>
              <c:f>Hydro_Litho_Pp!$AH$32</c:f>
              <c:numCache>
                <c:formatCode>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A1F-4C30-BBFA-1B007791EE5F}"/>
            </c:ext>
          </c:extLst>
        </c:ser>
        <c:ser>
          <c:idx val="1"/>
          <c:order val="3"/>
          <c:tx>
            <c:v>Gas Pressure</c:v>
          </c:tx>
          <c:spPr>
            <a:ln w="31750"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Wellbore_Pressure!$E$54:$E$74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Wellbore_Pressure!$C$54:$C$74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A1F-4C30-BBFA-1B007791E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822752"/>
        <c:axId val="256823312"/>
      </c:scatterChart>
      <c:valAx>
        <c:axId val="25682275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Pressure/Stress</a:t>
                </a:r>
                <a:r>
                  <a:rPr lang="en-US" sz="1600" baseline="0"/>
                  <a:t> (MPa)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856559069356801"/>
              <c:y val="0.92367713004484298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6823312"/>
        <c:crosses val="max"/>
        <c:crossBetween val="midCat"/>
      </c:valAx>
      <c:valAx>
        <c:axId val="256823312"/>
        <c:scaling>
          <c:orientation val="maxMin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Depth</a:t>
                </a:r>
                <a:r>
                  <a:rPr lang="en-US" sz="1600" baseline="0"/>
                  <a:t> Subsea (meters)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4.4725365886635598E-3"/>
              <c:y val="0.3217979855472710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68227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2237543251390604"/>
          <c:y val="5.6443645380087802E-2"/>
          <c:w val="0.31096402737456202"/>
          <c:h val="0.18227799686102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1"/>
          <c:order val="0"/>
          <c:tx>
            <c:v>least_prin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'Least Principal'!$D$13:$D$43</c:f>
              <c:numCache>
                <c:formatCode>0.00</c:formatCode>
                <c:ptCount val="31"/>
                <c:pt idx="0">
                  <c:v>8.4615384615384617</c:v>
                </c:pt>
                <c:pt idx="1">
                  <c:v>8.4615384615384617</c:v>
                </c:pt>
                <c:pt idx="2">
                  <c:v>8.4615384615384617</c:v>
                </c:pt>
                <c:pt idx="3">
                  <c:v>8.4615384615384617</c:v>
                </c:pt>
                <c:pt idx="4">
                  <c:v>8.4615384615384617</c:v>
                </c:pt>
                <c:pt idx="5">
                  <c:v>8.4615384615384617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8.4615384615384617</c:v>
                </c:pt>
                <c:pt idx="9">
                  <c:v>8.4615384615384617</c:v>
                </c:pt>
                <c:pt idx="10">
                  <c:v>8.4615384615384617</c:v>
                </c:pt>
                <c:pt idx="11">
                  <c:v>8.4615384615384617</c:v>
                </c:pt>
                <c:pt idx="12">
                  <c:v>8.4615384615384617</c:v>
                </c:pt>
                <c:pt idx="13">
                  <c:v>8.4615384615384617</c:v>
                </c:pt>
                <c:pt idx="14">
                  <c:v>8.4615384615384617</c:v>
                </c:pt>
                <c:pt idx="15">
                  <c:v>8.4615384615384617</c:v>
                </c:pt>
                <c:pt idx="16">
                  <c:v>8.4615384615384617</c:v>
                </c:pt>
                <c:pt idx="17">
                  <c:v>8.4615384615384617</c:v>
                </c:pt>
                <c:pt idx="18">
                  <c:v>8.4615384615384617</c:v>
                </c:pt>
                <c:pt idx="19">
                  <c:v>8.4615384615384617</c:v>
                </c:pt>
                <c:pt idx="20">
                  <c:v>8.4615384615384617</c:v>
                </c:pt>
                <c:pt idx="21">
                  <c:v>8.4615384615384617</c:v>
                </c:pt>
                <c:pt idx="22">
                  <c:v>8.4615384615384617</c:v>
                </c:pt>
                <c:pt idx="23">
                  <c:v>8.4615384615384617</c:v>
                </c:pt>
                <c:pt idx="24">
                  <c:v>8.4615384615384617</c:v>
                </c:pt>
                <c:pt idx="25">
                  <c:v>8.4615384615384617</c:v>
                </c:pt>
                <c:pt idx="26">
                  <c:v>8.4615384615384617</c:v>
                </c:pt>
                <c:pt idx="27">
                  <c:v>8.4615384615384617</c:v>
                </c:pt>
                <c:pt idx="28">
                  <c:v>8.4615384615384617</c:v>
                </c:pt>
                <c:pt idx="29">
                  <c:v>8.4615384615384617</c:v>
                </c:pt>
                <c:pt idx="30">
                  <c:v>8.4615384615384617</c:v>
                </c:pt>
              </c:numCache>
            </c:numRef>
          </c:xVal>
          <c:yVal>
            <c:numRef>
              <c:f>'Least Principal'!$A$13:$A$43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5A2-4BDF-B798-C1CCF21003B7}"/>
            </c:ext>
          </c:extLst>
        </c:ser>
        <c:ser>
          <c:idx val="2"/>
          <c:order val="1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Hydro_Litho_Pp!$E$32:$E$62</c:f>
              <c:numCache>
                <c:formatCode>0.00</c:formatCode>
                <c:ptCount val="31"/>
                <c:pt idx="0">
                  <c:v>8.4615384615384617</c:v>
                </c:pt>
                <c:pt idx="1">
                  <c:v>9.6341048332198778</c:v>
                </c:pt>
                <c:pt idx="2">
                  <c:v>10.564713064713064</c:v>
                </c:pt>
                <c:pt idx="3">
                  <c:v>11.321250691754289</c:v>
                </c:pt>
                <c:pt idx="4">
                  <c:v>11.948380566801619</c:v>
                </c:pt>
                <c:pt idx="5">
                  <c:v>12.476689976689977</c:v>
                </c:pt>
                <c:pt idx="6">
                  <c:v>12.927830596369922</c:v>
                </c:pt>
                <c:pt idx="7">
                  <c:v>13.317559403946838</c:v>
                </c:pt>
                <c:pt idx="8">
                  <c:v>13.65761689291101</c:v>
                </c:pt>
                <c:pt idx="9">
                  <c:v>13.956930166607586</c:v>
                </c:pt>
                <c:pt idx="10">
                  <c:v>14.222408026755852</c:v>
                </c:pt>
                <c:pt idx="11">
                  <c:v>14.459480848369736</c:v>
                </c:pt>
                <c:pt idx="12">
                  <c:v>14.67247596153846</c:v>
                </c:pt>
                <c:pt idx="13">
                  <c:v>14.864884186445524</c:v>
                </c:pt>
                <c:pt idx="14">
                  <c:v>15.039552645935624</c:v>
                </c:pt>
                <c:pt idx="15">
                  <c:v>15.198826597131681</c:v>
                </c:pt>
                <c:pt idx="16">
                  <c:v>15.344655344655344</c:v>
                </c:pt>
                <c:pt idx="17">
                  <c:v>15.478672417924752</c:v>
                </c:pt>
                <c:pt idx="18">
                  <c:v>15.602257024412712</c:v>
                </c:pt>
                <c:pt idx="19">
                  <c:v>15.716581689204165</c:v>
                </c:pt>
                <c:pt idx="20">
                  <c:v>15.822649572649572</c:v>
                </c:pt>
                <c:pt idx="21">
                  <c:v>15.853761622992392</c:v>
                </c:pt>
                <c:pt idx="22">
                  <c:v>15.884197324414716</c:v>
                </c:pt>
                <c:pt idx="23">
                  <c:v>15.913978494623654</c:v>
                </c:pt>
                <c:pt idx="24">
                  <c:v>15.943126022913257</c:v>
                </c:pt>
                <c:pt idx="25">
                  <c:v>15.971659919028339</c:v>
                </c:pt>
                <c:pt idx="26">
                  <c:v>15.999599358974359</c:v>
                </c:pt>
                <c:pt idx="27">
                  <c:v>16.026962727993656</c:v>
                </c:pt>
                <c:pt idx="28">
                  <c:v>16.053767660910516</c:v>
                </c:pt>
                <c:pt idx="29">
                  <c:v>16.08003108003108</c:v>
                </c:pt>
                <c:pt idx="30">
                  <c:v>16.10576923076923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5A2-4BDF-B798-C1CCF21003B7}"/>
            </c:ext>
          </c:extLst>
        </c:ser>
        <c:ser>
          <c:idx val="0"/>
          <c:order val="2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Hydro_Litho_Pp!$C$23:$C$62</c:f>
              <c:numCache>
                <c:formatCode>0.00</c:formatCode>
                <c:ptCount val="40"/>
                <c:pt idx="0">
                  <c:v>8.4615384615384617</c:v>
                </c:pt>
                <c:pt idx="1">
                  <c:v>8.4615384615384617</c:v>
                </c:pt>
                <c:pt idx="2">
                  <c:v>8.4615384615384617</c:v>
                </c:pt>
                <c:pt idx="3">
                  <c:v>8.4615384615384617</c:v>
                </c:pt>
                <c:pt idx="4">
                  <c:v>8.4615384615384617</c:v>
                </c:pt>
                <c:pt idx="5">
                  <c:v>8.4615384615384617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8.4615384615384617</c:v>
                </c:pt>
                <c:pt idx="9">
                  <c:v>8.4615384615384617</c:v>
                </c:pt>
                <c:pt idx="10">
                  <c:v>8.4615384615384617</c:v>
                </c:pt>
                <c:pt idx="11">
                  <c:v>8.4615384615384617</c:v>
                </c:pt>
                <c:pt idx="12">
                  <c:v>8.4615384615384617</c:v>
                </c:pt>
                <c:pt idx="13">
                  <c:v>8.4615384615384617</c:v>
                </c:pt>
                <c:pt idx="14">
                  <c:v>8.4615384615384617</c:v>
                </c:pt>
                <c:pt idx="15">
                  <c:v>8.4615384615384617</c:v>
                </c:pt>
                <c:pt idx="16">
                  <c:v>8.4615384615384617</c:v>
                </c:pt>
                <c:pt idx="17">
                  <c:v>8.4615384615384617</c:v>
                </c:pt>
                <c:pt idx="18">
                  <c:v>8.4615384615384617</c:v>
                </c:pt>
                <c:pt idx="19">
                  <c:v>8.4615384615384617</c:v>
                </c:pt>
                <c:pt idx="20">
                  <c:v>8.4615384615384617</c:v>
                </c:pt>
                <c:pt idx="21">
                  <c:v>8.4615384615384617</c:v>
                </c:pt>
                <c:pt idx="22">
                  <c:v>8.4615384615384617</c:v>
                </c:pt>
                <c:pt idx="23">
                  <c:v>8.4615384615384617</c:v>
                </c:pt>
                <c:pt idx="24">
                  <c:v>8.4615384615384617</c:v>
                </c:pt>
                <c:pt idx="25">
                  <c:v>8.4615384615384617</c:v>
                </c:pt>
                <c:pt idx="26">
                  <c:v>8.4615384615384617</c:v>
                </c:pt>
                <c:pt idx="27">
                  <c:v>8.4615384615384617</c:v>
                </c:pt>
                <c:pt idx="28">
                  <c:v>8.4615384615384617</c:v>
                </c:pt>
                <c:pt idx="29">
                  <c:v>8.4615384615384617</c:v>
                </c:pt>
                <c:pt idx="30">
                  <c:v>8.4615384615384617</c:v>
                </c:pt>
                <c:pt idx="31">
                  <c:v>8.4615384615384617</c:v>
                </c:pt>
                <c:pt idx="32">
                  <c:v>8.4615384615384617</c:v>
                </c:pt>
                <c:pt idx="33">
                  <c:v>8.4615384615384617</c:v>
                </c:pt>
                <c:pt idx="34">
                  <c:v>8.4615384615384617</c:v>
                </c:pt>
                <c:pt idx="35">
                  <c:v>8.4615384615384617</c:v>
                </c:pt>
                <c:pt idx="36">
                  <c:v>8.4615384615384617</c:v>
                </c:pt>
                <c:pt idx="37">
                  <c:v>8.4615384615384617</c:v>
                </c:pt>
                <c:pt idx="38">
                  <c:v>8.4615384615384617</c:v>
                </c:pt>
                <c:pt idx="39">
                  <c:v>8.4615384615384617</c:v>
                </c:pt>
              </c:numCache>
            </c:numRef>
          </c:xVal>
          <c:yVal>
            <c:numRef>
              <c:f>Hydro_Litho_Pp!$A$23:$A$62</c:f>
              <c:numCache>
                <c:formatCode>General</c:formatCode>
                <c:ptCount val="40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5650</c:v>
                </c:pt>
                <c:pt idx="11">
                  <c:v>6300</c:v>
                </c:pt>
                <c:pt idx="12">
                  <c:v>6950</c:v>
                </c:pt>
                <c:pt idx="13">
                  <c:v>7600</c:v>
                </c:pt>
                <c:pt idx="14">
                  <c:v>8250</c:v>
                </c:pt>
                <c:pt idx="15">
                  <c:v>8900</c:v>
                </c:pt>
                <c:pt idx="16">
                  <c:v>9550</c:v>
                </c:pt>
                <c:pt idx="17">
                  <c:v>10200</c:v>
                </c:pt>
                <c:pt idx="18">
                  <c:v>10850</c:v>
                </c:pt>
                <c:pt idx="19">
                  <c:v>11500</c:v>
                </c:pt>
                <c:pt idx="20">
                  <c:v>12150</c:v>
                </c:pt>
                <c:pt idx="21">
                  <c:v>12800</c:v>
                </c:pt>
                <c:pt idx="22">
                  <c:v>13450</c:v>
                </c:pt>
                <c:pt idx="23">
                  <c:v>14100</c:v>
                </c:pt>
                <c:pt idx="24">
                  <c:v>14750</c:v>
                </c:pt>
                <c:pt idx="25">
                  <c:v>15400</c:v>
                </c:pt>
                <c:pt idx="26">
                  <c:v>16050</c:v>
                </c:pt>
                <c:pt idx="27">
                  <c:v>16700</c:v>
                </c:pt>
                <c:pt idx="28">
                  <c:v>17350</c:v>
                </c:pt>
                <c:pt idx="29">
                  <c:v>18000</c:v>
                </c:pt>
                <c:pt idx="30">
                  <c:v>18200</c:v>
                </c:pt>
                <c:pt idx="31">
                  <c:v>18400</c:v>
                </c:pt>
                <c:pt idx="32">
                  <c:v>18600</c:v>
                </c:pt>
                <c:pt idx="33">
                  <c:v>18800</c:v>
                </c:pt>
                <c:pt idx="34">
                  <c:v>19000</c:v>
                </c:pt>
                <c:pt idx="35">
                  <c:v>19200</c:v>
                </c:pt>
                <c:pt idx="36">
                  <c:v>19400</c:v>
                </c:pt>
                <c:pt idx="37">
                  <c:v>19600</c:v>
                </c:pt>
                <c:pt idx="38">
                  <c:v>19800</c:v>
                </c:pt>
                <c:pt idx="39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5A2-4BDF-B798-C1CCF21003B7}"/>
            </c:ext>
          </c:extLst>
        </c:ser>
        <c:ser>
          <c:idx val="3"/>
          <c:order val="3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Hydro_Litho_Pp!$E$10</c:f>
              <c:numCache>
                <c:formatCode>0.00</c:formatCode>
                <c:ptCount val="1"/>
                <c:pt idx="0">
                  <c:v>12.820512820512819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5A2-4BDF-B798-C1CCF21003B7}"/>
            </c:ext>
          </c:extLst>
        </c:ser>
        <c:ser>
          <c:idx val="4"/>
          <c:order val="4"/>
          <c:tx>
            <c:v>least_prin_res</c:v>
          </c:tx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'Least Principal'!$D$8</c:f>
              <c:numCache>
                <c:formatCode>0.00</c:formatCode>
                <c:ptCount val="1"/>
                <c:pt idx="0">
                  <c:v>12.820512820512819</c:v>
                </c:pt>
              </c:numCache>
            </c:numRef>
          </c:xVal>
          <c:yVal>
            <c:numRef>
              <c:f>'Least Principal'!$A$8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5A2-4BDF-B798-C1CCF2100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346384"/>
        <c:axId val="254346944"/>
      </c:scatterChart>
      <c:valAx>
        <c:axId val="254346384"/>
        <c:scaling>
          <c:orientation val="minMax"/>
          <c:min val="7"/>
        </c:scaling>
        <c:delete val="0"/>
        <c:axPos val="b"/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4346944"/>
        <c:crosses val="max"/>
        <c:crossBetween val="midCat"/>
      </c:valAx>
      <c:valAx>
        <c:axId val="254346944"/>
        <c:scaling>
          <c:orientation val="maxMin"/>
          <c:min val="0"/>
        </c:scaling>
        <c:delete val="0"/>
        <c:axPos val="l"/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25434638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508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Hydro_Litho_Pp!$AJ$5:$AJ$8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5B4-42BB-A34F-222E29539F83}"/>
            </c:ext>
          </c:extLst>
        </c:ser>
        <c:ser>
          <c:idx val="0"/>
          <c:order val="1"/>
          <c:tx>
            <c:v>Hydrostatic Pressure</c:v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B4-42BB-A34F-222E29539F83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bg1">
                  <a:lumMod val="50000"/>
                </a:schemeClr>
              </a:solidFill>
              <a:ln w="12700"/>
            </c:spPr>
          </c:marker>
          <c:xVal>
            <c:numRef>
              <c:f>Hydro_Litho_Pp!$AI$32</c:f>
              <c:numCache>
                <c:formatCode>General</c:formatCode>
                <c:ptCount val="1"/>
              </c:numCache>
            </c:numRef>
          </c:xVal>
          <c:yVal>
            <c:numRef>
              <c:f>Hydro_Litho_Pp!$AH$32</c:f>
              <c:numCache>
                <c:formatCode>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5B4-42BB-A34F-222E29539F83}"/>
            </c:ext>
          </c:extLst>
        </c:ser>
        <c:ser>
          <c:idx val="1"/>
          <c:order val="3"/>
          <c:tx>
            <c:v>Gas Pressure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Wellbore_Pressure!$E$54:$E$74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Wellbore_Pressure!$C$54:$C$74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5B4-42BB-A34F-222E29539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9182144"/>
        <c:axId val="259182704"/>
      </c:scatterChart>
      <c:valAx>
        <c:axId val="259182144"/>
        <c:scaling>
          <c:orientation val="minMax"/>
          <c:max val="14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Pressure/Stress</a:t>
                </a:r>
                <a:r>
                  <a:rPr lang="en-US" sz="1600" baseline="0"/>
                  <a:t> (MPa)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420824604977217"/>
              <c:y val="0.9206613626421696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9182704"/>
        <c:crosses val="max"/>
        <c:crossBetween val="midCat"/>
      </c:valAx>
      <c:valAx>
        <c:axId val="259182704"/>
        <c:scaling>
          <c:orientation val="maxMin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Depth</a:t>
                </a:r>
                <a:r>
                  <a:rPr lang="en-US" sz="1600" baseline="0"/>
                  <a:t> Subsea (meters)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4.4725365886635598E-3"/>
              <c:y val="0.3217979855472710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9182144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508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1C4-4307-9E45-7A3F62374209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noFill/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1C4-4307-9E45-7A3F62374209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1C4-4307-9E45-7A3F62374209}"/>
            </c:ext>
          </c:extLst>
        </c:ser>
        <c:ser>
          <c:idx val="1"/>
          <c:order val="3"/>
          <c:tx>
            <c:v>Gas Pressure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Sheet1!$AI$33:$AI$34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15</c:v>
                </c:pt>
              </c:numCache>
            </c:numRef>
          </c:xVal>
          <c:yVal>
            <c:numRef>
              <c:f>Sheet1!$AH$33:$AH$34</c:f>
              <c:numCache>
                <c:formatCode>General</c:formatCode>
                <c:ptCount val="2"/>
                <c:pt idx="0">
                  <c:v>1500</c:v>
                </c:pt>
                <c:pt idx="1">
                  <c:v>5500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1C4-4307-9E45-7A3F62374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193600"/>
        <c:axId val="256194160"/>
      </c:scatterChart>
      <c:valAx>
        <c:axId val="256193600"/>
        <c:scaling>
          <c:orientation val="minMax"/>
          <c:max val="8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u* (MPa)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3889963587590353"/>
              <c:y val="0.92254629629629625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6194160"/>
        <c:crosses val="max"/>
        <c:crossBetween val="midCat"/>
      </c:valAx>
      <c:valAx>
        <c:axId val="256194160"/>
        <c:scaling>
          <c:orientation val="maxMin"/>
        </c:scaling>
        <c:delete val="1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56193600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19208710022361E-2"/>
          <c:y val="5.4383426430670533E-2"/>
          <c:w val="0.81861938826274205"/>
          <c:h val="0.82694551001637617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508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B-4EE0-9C06-CCD86B0F0C87}"/>
            </c:ext>
          </c:extLst>
        </c:ser>
        <c:ser>
          <c:idx val="0"/>
          <c:order val="1"/>
          <c:tx>
            <c:v>Hydrostatic Pressure</c:v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CB-4EE0-9C06-CCD86B0F0C87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BCB-4EE0-9C06-CCD86B0F0C87}"/>
            </c:ext>
          </c:extLst>
        </c:ser>
        <c:ser>
          <c:idx val="1"/>
          <c:order val="3"/>
          <c:tx>
            <c:v>Gas Pressure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Wellbore_Pressure!$F$54:$F$74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Wellbore_Pressure!$C$54:$C$74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BCB-4EE0-9C06-CCD86B0F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55616"/>
        <c:axId val="258156176"/>
      </c:scatterChart>
      <c:valAx>
        <c:axId val="258155616"/>
        <c:scaling>
          <c:orientation val="minMax"/>
          <c:max val="38"/>
          <c:min val="7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Mud Weight (PPG)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9149216405132803"/>
              <c:y val="0.92316947360746571"/>
            </c:manualLayout>
          </c:layout>
          <c:overlay val="0"/>
        </c:title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8156176"/>
        <c:crossesAt val="7000"/>
        <c:crossBetween val="midCat"/>
        <c:minorUnit val="1"/>
      </c:valAx>
      <c:valAx>
        <c:axId val="258156176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258155616"/>
        <c:crossesAt val="18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0"/>
          <c:order val="0"/>
          <c:tx>
            <c:v>Hydrostatic Pressure</c:v>
          </c:tx>
          <c:spPr>
            <a:ln w="50800">
              <a:noFill/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DD-48A6-8B58-80A7FB065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158416"/>
        <c:axId val="258466848"/>
      </c:scatterChart>
      <c:valAx>
        <c:axId val="258158416"/>
        <c:scaling>
          <c:orientation val="minMax"/>
          <c:max val="12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Pressure/Stress</a:t>
                </a:r>
                <a:r>
                  <a:rPr lang="en-US" sz="1600" baseline="0"/>
                  <a:t> (MPa)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420824604977217"/>
              <c:y val="0.9206613626421696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8466848"/>
        <c:crosses val="max"/>
        <c:crossBetween val="midCat"/>
      </c:valAx>
      <c:valAx>
        <c:axId val="258466848"/>
        <c:scaling>
          <c:orientation val="maxMin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Depth</a:t>
                </a:r>
                <a:r>
                  <a:rPr lang="en-US" sz="1600" baseline="0"/>
                  <a:t> Subsea (meters)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4.4725365886635598E-3"/>
              <c:y val="0.3217979855472710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815841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0"/>
          <c:order val="0"/>
          <c:tx>
            <c:v>Hydrostatic Pressure</c:v>
          </c:tx>
          <c:spPr>
            <a:ln w="31750">
              <a:noFill/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27-4DFC-82D9-D27E09882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8469088"/>
        <c:axId val="258469648"/>
      </c:scatterChart>
      <c:valAx>
        <c:axId val="258469088"/>
        <c:scaling>
          <c:orientation val="minMax"/>
          <c:max val="8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u* (MPa)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3889963587590353"/>
              <c:y val="0.92254629629629625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8469648"/>
        <c:crosses val="max"/>
        <c:crossBetween val="midCat"/>
      </c:valAx>
      <c:valAx>
        <c:axId val="258469648"/>
        <c:scaling>
          <c:orientation val="maxMin"/>
        </c:scaling>
        <c:delete val="1"/>
        <c:axPos val="l"/>
        <c:majorGridlines/>
        <c:minorGridlines/>
        <c:numFmt formatCode="0" sourceLinked="1"/>
        <c:majorTickMark val="out"/>
        <c:minorTickMark val="none"/>
        <c:tickLblPos val="nextTo"/>
        <c:crossAx val="258469088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19208710022361E-2"/>
          <c:y val="5.4383426430670533E-2"/>
          <c:w val="0.81861938826274205"/>
          <c:h val="0.82694551001637617"/>
        </c:manualLayout>
      </c:layout>
      <c:scatterChart>
        <c:scatterStyle val="smoothMarker"/>
        <c:varyColors val="0"/>
        <c:ser>
          <c:idx val="0"/>
          <c:order val="0"/>
          <c:tx>
            <c:v>Hydrostatic Pressure</c:v>
          </c:tx>
          <c:spPr>
            <a:ln w="50800">
              <a:noFill/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57-4ED5-B025-9CED51DF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685888"/>
        <c:axId val="254686448"/>
      </c:scatterChart>
      <c:valAx>
        <c:axId val="254685888"/>
        <c:scaling>
          <c:orientation val="minMax"/>
          <c:max val="38"/>
          <c:min val="7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Mud Weight (PPG)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9149216405132803"/>
              <c:y val="0.92316947360746571"/>
            </c:manualLayout>
          </c:layout>
          <c:overlay val="0"/>
        </c:title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4686448"/>
        <c:crossesAt val="7000"/>
        <c:crossBetween val="midCat"/>
        <c:minorUnit val="1"/>
      </c:valAx>
      <c:valAx>
        <c:axId val="254686448"/>
        <c:scaling>
          <c:orientation val="maxMin"/>
        </c:scaling>
        <c:delete val="0"/>
        <c:axPos val="l"/>
        <c:majorGridlines/>
        <c:minorGridlines/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254685888"/>
        <c:crossesAt val="18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508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Hydro_Litho_Pp!$AI$5:$AI$8</c:f>
              <c:numCache>
                <c:formatCode>General</c:formatCode>
                <c:ptCount val="4"/>
              </c:numCache>
            </c:numRef>
          </c:xVal>
          <c:yVal>
            <c:numRef>
              <c:f>Hydro_Litho_Pp!$AE$5:$AE$8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B8-4016-A11A-62EA42775CE1}"/>
            </c:ext>
          </c:extLst>
        </c:ser>
        <c:ser>
          <c:idx val="0"/>
          <c:order val="1"/>
          <c:tx>
            <c:v>Hydrostatic Pressure</c:v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Hydro_Litho_Pp!$AG$5:$AG$8</c:f>
              <c:numCache>
                <c:formatCode>General</c:formatCode>
                <c:ptCount val="4"/>
              </c:numCache>
            </c:numRef>
          </c:xVal>
          <c:yVal>
            <c:numRef>
              <c:f>Hydro_Litho_Pp!$AE$5:$AE$8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B8-4016-A11A-62EA42775CE1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bg1">
                  <a:lumMod val="50000"/>
                </a:schemeClr>
              </a:solidFill>
              <a:ln w="12700"/>
            </c:spPr>
          </c:marker>
          <c:xVal>
            <c:numRef>
              <c:f>Hydro_Litho_Pp!$AI$24</c:f>
              <c:numCache>
                <c:formatCode>General</c:formatCode>
                <c:ptCount val="1"/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AB8-4016-A11A-62EA42775CE1}"/>
            </c:ext>
          </c:extLst>
        </c:ser>
        <c:ser>
          <c:idx val="1"/>
          <c:order val="3"/>
          <c:tx>
            <c:v>Gas Pressure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Wellbore_Pressure!$D$54:$D$74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Wellbore_Pressure!$B$54:$B$74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AB8-4016-A11A-62EA42775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4690368"/>
        <c:axId val="254690928"/>
      </c:scatterChart>
      <c:valAx>
        <c:axId val="254690368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Pressure/Stress</a:t>
                </a:r>
                <a:r>
                  <a:rPr lang="en-US" sz="1600" baseline="0"/>
                  <a:t> (PSI)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420824604977217"/>
              <c:y val="0.9206613626421696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4690928"/>
        <c:crosses val="max"/>
        <c:crossBetween val="midCat"/>
      </c:valAx>
      <c:valAx>
        <c:axId val="254690928"/>
        <c:scaling>
          <c:orientation val="maxMin"/>
          <c:max val="210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Depth</a:t>
                </a:r>
                <a:r>
                  <a:rPr lang="en-US" sz="1600" baseline="0"/>
                  <a:t> Subsea (feet)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4.4725365886635598E-3"/>
              <c:y val="0.3217979855472710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4690368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508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00-4FBD-A1E4-1504CD4C0FDA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noFill/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00-4FBD-A1E4-1504CD4C0FDA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00-4FBD-A1E4-1504CD4C0FDA}"/>
            </c:ext>
          </c:extLst>
        </c:ser>
        <c:ser>
          <c:idx val="1"/>
          <c:order val="3"/>
          <c:tx>
            <c:v>Gas Pressure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Sheet1!$AH$158:$AH$159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Sheet1!$AG$158:$AG$159</c:f>
              <c:numCache>
                <c:formatCode>General</c:formatCode>
                <c:ptCount val="2"/>
                <c:pt idx="0">
                  <c:v>5000</c:v>
                </c:pt>
                <c:pt idx="1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00-4FBD-A1E4-1504CD4C0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594480"/>
        <c:axId val="260595040"/>
      </c:scatterChart>
      <c:valAx>
        <c:axId val="260594480"/>
        <c:scaling>
          <c:orientation val="minMax"/>
          <c:max val="8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u* (PSI)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3889963587590353"/>
              <c:y val="0.92254629629629625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60595040"/>
        <c:crosses val="max"/>
        <c:crossBetween val="midCat"/>
      </c:valAx>
      <c:valAx>
        <c:axId val="260595040"/>
        <c:scaling>
          <c:orientation val="maxMin"/>
          <c:max val="21000"/>
          <c:min val="0"/>
        </c:scaling>
        <c:delete val="1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260594480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419208710022361E-2"/>
          <c:y val="5.4383426430670533E-2"/>
          <c:w val="0.81861938826274205"/>
          <c:h val="0.82694551001637617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5080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8B-4D99-B04E-BE048A9E8CC4}"/>
            </c:ext>
          </c:extLst>
        </c:ser>
        <c:ser>
          <c:idx val="0"/>
          <c:order val="1"/>
          <c:tx>
            <c:v>Hydrostatic Pressure</c:v>
          </c:tx>
          <c:spPr>
            <a:ln w="5080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8B-4D99-B04E-BE048A9E8CC4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B8B-4D99-B04E-BE048A9E8CC4}"/>
            </c:ext>
          </c:extLst>
        </c:ser>
        <c:ser>
          <c:idx val="1"/>
          <c:order val="3"/>
          <c:tx>
            <c:v>Gas Pressure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Wellbore_Pressure!$F$54:$F$74</c:f>
              <c:numCache>
                <c:formatCode>0.00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xVal>
          <c:yVal>
            <c:numRef>
              <c:f>Wellbore_Pressure!$B$54:$B$74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B8B-4D99-B04E-BE048A9E8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598960"/>
        <c:axId val="260239392"/>
      </c:scatterChart>
      <c:valAx>
        <c:axId val="260598960"/>
        <c:scaling>
          <c:orientation val="minMax"/>
          <c:max val="38"/>
          <c:min val="7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Mud Weight (PPG)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9149216405132803"/>
              <c:y val="0.92316947360746571"/>
            </c:manualLayout>
          </c:layout>
          <c:overlay val="0"/>
        </c:title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60239392"/>
        <c:crossesAt val="7000"/>
        <c:crossBetween val="midCat"/>
        <c:minorUnit val="1"/>
      </c:valAx>
      <c:valAx>
        <c:axId val="260239392"/>
        <c:scaling>
          <c:orientation val="maxMin"/>
          <c:max val="21000"/>
          <c:min val="0"/>
        </c:scaling>
        <c:delete val="0"/>
        <c:axPos val="l"/>
        <c:majorGridlines/>
        <c:minorGridlines/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260598960"/>
        <c:crossesAt val="18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Hydro_Litho_Pp!$F$32:$F$62</c:f>
              <c:numCache>
                <c:formatCode>0</c:formatCode>
                <c:ptCount val="31"/>
                <c:pt idx="0">
                  <c:v>0</c:v>
                </c:pt>
                <c:pt idx="1">
                  <c:v>344.5</c:v>
                </c:pt>
                <c:pt idx="2">
                  <c:v>689</c:v>
                </c:pt>
                <c:pt idx="3">
                  <c:v>1033.5</c:v>
                </c:pt>
                <c:pt idx="4">
                  <c:v>1378</c:v>
                </c:pt>
                <c:pt idx="5">
                  <c:v>1722.5</c:v>
                </c:pt>
                <c:pt idx="6">
                  <c:v>2067</c:v>
                </c:pt>
                <c:pt idx="7">
                  <c:v>2411.5</c:v>
                </c:pt>
                <c:pt idx="8">
                  <c:v>2756</c:v>
                </c:pt>
                <c:pt idx="9">
                  <c:v>3100.5</c:v>
                </c:pt>
                <c:pt idx="10">
                  <c:v>3445</c:v>
                </c:pt>
                <c:pt idx="11">
                  <c:v>3789.5</c:v>
                </c:pt>
                <c:pt idx="12">
                  <c:v>4134</c:v>
                </c:pt>
                <c:pt idx="13">
                  <c:v>4478.5</c:v>
                </c:pt>
                <c:pt idx="14">
                  <c:v>4823</c:v>
                </c:pt>
                <c:pt idx="15">
                  <c:v>5167.5</c:v>
                </c:pt>
                <c:pt idx="16">
                  <c:v>5512</c:v>
                </c:pt>
                <c:pt idx="17">
                  <c:v>5856.5</c:v>
                </c:pt>
                <c:pt idx="18">
                  <c:v>6201</c:v>
                </c:pt>
                <c:pt idx="19">
                  <c:v>6545.5</c:v>
                </c:pt>
                <c:pt idx="20">
                  <c:v>6890</c:v>
                </c:pt>
                <c:pt idx="21">
                  <c:v>6996</c:v>
                </c:pt>
                <c:pt idx="22">
                  <c:v>7102</c:v>
                </c:pt>
                <c:pt idx="23">
                  <c:v>7208</c:v>
                </c:pt>
                <c:pt idx="24">
                  <c:v>7314</c:v>
                </c:pt>
                <c:pt idx="25">
                  <c:v>7420</c:v>
                </c:pt>
                <c:pt idx="26">
                  <c:v>7526</c:v>
                </c:pt>
                <c:pt idx="27">
                  <c:v>7632</c:v>
                </c:pt>
                <c:pt idx="28">
                  <c:v>7738</c:v>
                </c:pt>
                <c:pt idx="29">
                  <c:v>7844</c:v>
                </c:pt>
                <c:pt idx="30">
                  <c:v>7950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19-4838-ABC0-2746FA3991F2}"/>
            </c:ext>
          </c:extLst>
        </c:ser>
        <c:ser>
          <c:idx val="3"/>
          <c:order val="1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Hydro_Litho_Pp!$E$9</c:f>
              <c:numCache>
                <c:formatCode>General</c:formatCode>
                <c:ptCount val="1"/>
                <c:pt idx="0">
                  <c:v>4080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E19-4838-ABC0-2746FA39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036704"/>
        <c:axId val="257037264"/>
      </c:scatterChart>
      <c:valAx>
        <c:axId val="257036704"/>
        <c:scaling>
          <c:orientation val="minMax"/>
          <c:min val="0"/>
        </c:scaling>
        <c:delete val="0"/>
        <c:axPos val="b"/>
        <c:numFmt formatCode="0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7037264"/>
        <c:crosses val="max"/>
        <c:crossBetween val="midCat"/>
      </c:valAx>
      <c:valAx>
        <c:axId val="257037264"/>
        <c:scaling>
          <c:orientation val="maxMin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5703670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3"/>
          <c:order val="0"/>
          <c:tx>
            <c:v>Reservoir Pressure</c:v>
          </c:tx>
          <c:spPr>
            <a:ln w="47625">
              <a:noFill/>
            </a:ln>
          </c:spPr>
          <c:marker>
            <c:symbol val="none"/>
          </c:marker>
          <c:xVal>
            <c:numRef>
              <c:f>Hydro_Litho_Pp!$AI$24</c:f>
              <c:numCache>
                <c:formatCode>General</c:formatCode>
                <c:ptCount val="1"/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4ED-4EA4-81FC-3AE1025D0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41632"/>
        <c:axId val="260242192"/>
      </c:scatterChart>
      <c:valAx>
        <c:axId val="260241632"/>
        <c:scaling>
          <c:orientation val="minMax"/>
          <c:max val="20000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Pressure/Stress</a:t>
                </a:r>
                <a:r>
                  <a:rPr lang="en-US" sz="1600" baseline="0"/>
                  <a:t> (PSI)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3420824604977217"/>
              <c:y val="0.92066136264216969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60242192"/>
        <c:crosses val="max"/>
        <c:crossBetween val="midCat"/>
      </c:valAx>
      <c:valAx>
        <c:axId val="260242192"/>
        <c:scaling>
          <c:orientation val="maxMin"/>
          <c:max val="210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Depth</a:t>
                </a:r>
                <a:r>
                  <a:rPr lang="en-US" sz="1600" baseline="0"/>
                  <a:t> Subsea (feet)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4.4725365886635598E-3"/>
              <c:y val="0.3217979855472710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60241632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073525123085"/>
          <c:y val="5.4383347881439198E-2"/>
          <c:w val="0.81861938826274205"/>
          <c:h val="0.82694551001637617"/>
        </c:manualLayout>
      </c:layout>
      <c:scatterChart>
        <c:scatterStyle val="smoothMarker"/>
        <c:varyColors val="0"/>
        <c:ser>
          <c:idx val="0"/>
          <c:order val="0"/>
          <c:tx>
            <c:v>Hydrostatic Pressure</c:v>
          </c:tx>
          <c:spPr>
            <a:ln w="31750">
              <a:noFill/>
            </a:ln>
          </c:spPr>
          <c:marker>
            <c:symbol val="none"/>
          </c:marker>
          <c:xVal>
            <c:numRef>
              <c:f>Hydro_Litho_Pp!$AH$5:$AH$8</c:f>
              <c:numCache>
                <c:formatCode>0.00</c:formatCode>
                <c:ptCount val="4"/>
              </c:numCache>
            </c:numRef>
          </c:xVal>
          <c:yVal>
            <c:numRef>
              <c:f>Hydro_Litho_Pp!$AF$5:$AF$8</c:f>
              <c:numCache>
                <c:formatCode>0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C0-4CB7-AA15-D296C58BF49B}"/>
            </c:ext>
          </c:extLst>
        </c:ser>
        <c:ser>
          <c:idx val="3"/>
          <c:order val="1"/>
          <c:tx>
            <c:v>Reservoir Pressure</c:v>
          </c:tx>
          <c:spPr>
            <a:ln w="47625">
              <a:noFill/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C0-4CB7-AA15-D296C58B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244992"/>
        <c:axId val="260245552"/>
      </c:scatterChart>
      <c:valAx>
        <c:axId val="260244992"/>
        <c:scaling>
          <c:orientation val="minMax"/>
          <c:max val="800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u* (PSI)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43889963587590353"/>
              <c:y val="0.92254629629629625"/>
            </c:manualLayout>
          </c:layout>
          <c:overlay val="0"/>
        </c:title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60245552"/>
        <c:crosses val="max"/>
        <c:crossBetween val="midCat"/>
      </c:valAx>
      <c:valAx>
        <c:axId val="260245552"/>
        <c:scaling>
          <c:orientation val="maxMin"/>
          <c:max val="21000"/>
          <c:min val="0"/>
        </c:scaling>
        <c:delete val="1"/>
        <c:axPos val="l"/>
        <c:majorGridlines/>
        <c:minorGridlines/>
        <c:numFmt formatCode="0" sourceLinked="1"/>
        <c:majorTickMark val="out"/>
        <c:minorTickMark val="none"/>
        <c:tickLblPos val="nextTo"/>
        <c:crossAx val="260244992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19208710022361E-2"/>
          <c:y val="5.4383426430670533E-2"/>
          <c:w val="0.81861938826274205"/>
          <c:h val="0.82694551001637617"/>
        </c:manualLayout>
      </c:layout>
      <c:scatterChart>
        <c:scatterStyle val="smoothMarker"/>
        <c:varyColors val="0"/>
        <c:ser>
          <c:idx val="3"/>
          <c:order val="0"/>
          <c:tx>
            <c:v>Reservoir Pressure</c:v>
          </c:tx>
          <c:spPr>
            <a:ln w="47625">
              <a:noFill/>
            </a:ln>
          </c:spPr>
          <c:marker>
            <c:symbol val="none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ED-4F0F-873A-B2D085D13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387408"/>
        <c:axId val="260387968"/>
      </c:scatterChart>
      <c:valAx>
        <c:axId val="260387408"/>
        <c:scaling>
          <c:orientation val="minMax"/>
          <c:max val="38"/>
          <c:min val="7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 baseline="0"/>
                  <a:t>Mud Weight (PPG)</a:t>
                </a:r>
                <a:endParaRPr lang="en-US" sz="1600"/>
              </a:p>
            </c:rich>
          </c:tx>
          <c:layout>
            <c:manualLayout>
              <c:xMode val="edge"/>
              <c:yMode val="edge"/>
              <c:x val="0.39149216405132803"/>
              <c:y val="0.92316947360746571"/>
            </c:manualLayout>
          </c:layout>
          <c:overlay val="0"/>
        </c:title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60387968"/>
        <c:crossesAt val="7000"/>
        <c:crossBetween val="midCat"/>
        <c:minorUnit val="1"/>
      </c:valAx>
      <c:valAx>
        <c:axId val="260387968"/>
        <c:scaling>
          <c:orientation val="maxMin"/>
          <c:max val="21000"/>
          <c:min val="0"/>
        </c:scaling>
        <c:delete val="0"/>
        <c:axPos val="l"/>
        <c:majorGridlines/>
        <c:minorGridlines/>
        <c:numFmt formatCode="General" sourceLinked="1"/>
        <c:majorTickMark val="in"/>
        <c:minorTickMark val="none"/>
        <c:tickLblPos val="high"/>
        <c:spPr>
          <a:ln>
            <a:solidFill>
              <a:schemeClr val="tx1"/>
            </a:solidFill>
          </a:ln>
        </c:spPr>
        <c:crossAx val="260387408"/>
        <c:crossesAt val="18"/>
        <c:crossBetween val="midCat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Hydro_Litho_Pp!$E$32:$E$62</c:f>
              <c:numCache>
                <c:formatCode>0.00</c:formatCode>
                <c:ptCount val="31"/>
                <c:pt idx="0">
                  <c:v>8.4615384615384617</c:v>
                </c:pt>
                <c:pt idx="1">
                  <c:v>9.6341048332198778</c:v>
                </c:pt>
                <c:pt idx="2">
                  <c:v>10.564713064713064</c:v>
                </c:pt>
                <c:pt idx="3">
                  <c:v>11.321250691754289</c:v>
                </c:pt>
                <c:pt idx="4">
                  <c:v>11.948380566801619</c:v>
                </c:pt>
                <c:pt idx="5">
                  <c:v>12.476689976689977</c:v>
                </c:pt>
                <c:pt idx="6">
                  <c:v>12.927830596369922</c:v>
                </c:pt>
                <c:pt idx="7">
                  <c:v>13.317559403946838</c:v>
                </c:pt>
                <c:pt idx="8">
                  <c:v>13.65761689291101</c:v>
                </c:pt>
                <c:pt idx="9">
                  <c:v>13.956930166607586</c:v>
                </c:pt>
                <c:pt idx="10">
                  <c:v>14.222408026755852</c:v>
                </c:pt>
                <c:pt idx="11">
                  <c:v>14.459480848369736</c:v>
                </c:pt>
                <c:pt idx="12">
                  <c:v>14.67247596153846</c:v>
                </c:pt>
                <c:pt idx="13">
                  <c:v>14.864884186445524</c:v>
                </c:pt>
                <c:pt idx="14">
                  <c:v>15.039552645935624</c:v>
                </c:pt>
                <c:pt idx="15">
                  <c:v>15.198826597131681</c:v>
                </c:pt>
                <c:pt idx="16">
                  <c:v>15.344655344655344</c:v>
                </c:pt>
                <c:pt idx="17">
                  <c:v>15.478672417924752</c:v>
                </c:pt>
                <c:pt idx="18">
                  <c:v>15.602257024412712</c:v>
                </c:pt>
                <c:pt idx="19">
                  <c:v>15.716581689204165</c:v>
                </c:pt>
                <c:pt idx="20">
                  <c:v>15.822649572649572</c:v>
                </c:pt>
                <c:pt idx="21">
                  <c:v>15.853761622992392</c:v>
                </c:pt>
                <c:pt idx="22">
                  <c:v>15.884197324414716</c:v>
                </c:pt>
                <c:pt idx="23">
                  <c:v>15.913978494623654</c:v>
                </c:pt>
                <c:pt idx="24">
                  <c:v>15.943126022913257</c:v>
                </c:pt>
                <c:pt idx="25">
                  <c:v>15.971659919028339</c:v>
                </c:pt>
                <c:pt idx="26">
                  <c:v>15.999599358974359</c:v>
                </c:pt>
                <c:pt idx="27">
                  <c:v>16.026962727993656</c:v>
                </c:pt>
                <c:pt idx="28">
                  <c:v>16.053767660910516</c:v>
                </c:pt>
                <c:pt idx="29">
                  <c:v>16.08003108003108</c:v>
                </c:pt>
                <c:pt idx="30">
                  <c:v>16.10576923076923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88-4187-8200-E22E04DA9CD1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Hydro_Litho_Pp!$C$23:$C$62</c:f>
              <c:numCache>
                <c:formatCode>0.00</c:formatCode>
                <c:ptCount val="40"/>
                <c:pt idx="0">
                  <c:v>8.4615384615384617</c:v>
                </c:pt>
                <c:pt idx="1">
                  <c:v>8.4615384615384617</c:v>
                </c:pt>
                <c:pt idx="2">
                  <c:v>8.4615384615384617</c:v>
                </c:pt>
                <c:pt idx="3">
                  <c:v>8.4615384615384617</c:v>
                </c:pt>
                <c:pt idx="4">
                  <c:v>8.4615384615384617</c:v>
                </c:pt>
                <c:pt idx="5">
                  <c:v>8.4615384615384617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8.4615384615384617</c:v>
                </c:pt>
                <c:pt idx="9">
                  <c:v>8.4615384615384617</c:v>
                </c:pt>
                <c:pt idx="10">
                  <c:v>8.4615384615384617</c:v>
                </c:pt>
                <c:pt idx="11">
                  <c:v>8.4615384615384617</c:v>
                </c:pt>
                <c:pt idx="12">
                  <c:v>8.4615384615384617</c:v>
                </c:pt>
                <c:pt idx="13">
                  <c:v>8.4615384615384617</c:v>
                </c:pt>
                <c:pt idx="14">
                  <c:v>8.4615384615384617</c:v>
                </c:pt>
                <c:pt idx="15">
                  <c:v>8.4615384615384617</c:v>
                </c:pt>
                <c:pt idx="16">
                  <c:v>8.4615384615384617</c:v>
                </c:pt>
                <c:pt idx="17">
                  <c:v>8.4615384615384617</c:v>
                </c:pt>
                <c:pt idx="18">
                  <c:v>8.4615384615384617</c:v>
                </c:pt>
                <c:pt idx="19">
                  <c:v>8.4615384615384617</c:v>
                </c:pt>
                <c:pt idx="20">
                  <c:v>8.4615384615384617</c:v>
                </c:pt>
                <c:pt idx="21">
                  <c:v>8.4615384615384617</c:v>
                </c:pt>
                <c:pt idx="22">
                  <c:v>8.4615384615384617</c:v>
                </c:pt>
                <c:pt idx="23">
                  <c:v>8.4615384615384617</c:v>
                </c:pt>
                <c:pt idx="24">
                  <c:v>8.4615384615384617</c:v>
                </c:pt>
                <c:pt idx="25">
                  <c:v>8.4615384615384617</c:v>
                </c:pt>
                <c:pt idx="26">
                  <c:v>8.4615384615384617</c:v>
                </c:pt>
                <c:pt idx="27">
                  <c:v>8.4615384615384617</c:v>
                </c:pt>
                <c:pt idx="28">
                  <c:v>8.4615384615384617</c:v>
                </c:pt>
                <c:pt idx="29">
                  <c:v>8.4615384615384617</c:v>
                </c:pt>
                <c:pt idx="30">
                  <c:v>8.4615384615384617</c:v>
                </c:pt>
                <c:pt idx="31">
                  <c:v>8.4615384615384617</c:v>
                </c:pt>
                <c:pt idx="32">
                  <c:v>8.4615384615384617</c:v>
                </c:pt>
                <c:pt idx="33">
                  <c:v>8.4615384615384617</c:v>
                </c:pt>
                <c:pt idx="34">
                  <c:v>8.4615384615384617</c:v>
                </c:pt>
                <c:pt idx="35">
                  <c:v>8.4615384615384617</c:v>
                </c:pt>
                <c:pt idx="36">
                  <c:v>8.4615384615384617</c:v>
                </c:pt>
                <c:pt idx="37">
                  <c:v>8.4615384615384617</c:v>
                </c:pt>
                <c:pt idx="38">
                  <c:v>8.4615384615384617</c:v>
                </c:pt>
                <c:pt idx="39">
                  <c:v>8.4615384615384617</c:v>
                </c:pt>
              </c:numCache>
            </c:numRef>
          </c:xVal>
          <c:yVal>
            <c:numRef>
              <c:f>Hydro_Litho_Pp!$A$23:$A$62</c:f>
              <c:numCache>
                <c:formatCode>General</c:formatCode>
                <c:ptCount val="40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5650</c:v>
                </c:pt>
                <c:pt idx="11">
                  <c:v>6300</c:v>
                </c:pt>
                <c:pt idx="12">
                  <c:v>6950</c:v>
                </c:pt>
                <c:pt idx="13">
                  <c:v>7600</c:v>
                </c:pt>
                <c:pt idx="14">
                  <c:v>8250</c:v>
                </c:pt>
                <c:pt idx="15">
                  <c:v>8900</c:v>
                </c:pt>
                <c:pt idx="16">
                  <c:v>9550</c:v>
                </c:pt>
                <c:pt idx="17">
                  <c:v>10200</c:v>
                </c:pt>
                <c:pt idx="18">
                  <c:v>10850</c:v>
                </c:pt>
                <c:pt idx="19">
                  <c:v>11500</c:v>
                </c:pt>
                <c:pt idx="20">
                  <c:v>12150</c:v>
                </c:pt>
                <c:pt idx="21">
                  <c:v>12800</c:v>
                </c:pt>
                <c:pt idx="22">
                  <c:v>13450</c:v>
                </c:pt>
                <c:pt idx="23">
                  <c:v>14100</c:v>
                </c:pt>
                <c:pt idx="24">
                  <c:v>14750</c:v>
                </c:pt>
                <c:pt idx="25">
                  <c:v>15400</c:v>
                </c:pt>
                <c:pt idx="26">
                  <c:v>16050</c:v>
                </c:pt>
                <c:pt idx="27">
                  <c:v>16700</c:v>
                </c:pt>
                <c:pt idx="28">
                  <c:v>17350</c:v>
                </c:pt>
                <c:pt idx="29">
                  <c:v>18000</c:v>
                </c:pt>
                <c:pt idx="30">
                  <c:v>18200</c:v>
                </c:pt>
                <c:pt idx="31">
                  <c:v>18400</c:v>
                </c:pt>
                <c:pt idx="32">
                  <c:v>18600</c:v>
                </c:pt>
                <c:pt idx="33">
                  <c:v>18800</c:v>
                </c:pt>
                <c:pt idx="34">
                  <c:v>19000</c:v>
                </c:pt>
                <c:pt idx="35">
                  <c:v>19200</c:v>
                </c:pt>
                <c:pt idx="36">
                  <c:v>19400</c:v>
                </c:pt>
                <c:pt idx="37">
                  <c:v>19600</c:v>
                </c:pt>
                <c:pt idx="38">
                  <c:v>19800</c:v>
                </c:pt>
                <c:pt idx="39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88-4187-8200-E22E04DA9CD1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Hydro_Litho_Pp!$E$10</c:f>
              <c:numCache>
                <c:formatCode>0.00</c:formatCode>
                <c:ptCount val="1"/>
                <c:pt idx="0">
                  <c:v>12.820512820512819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688-4187-8200-E22E04DA9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018272"/>
        <c:axId val="257018832"/>
      </c:scatterChart>
      <c:valAx>
        <c:axId val="257018272"/>
        <c:scaling>
          <c:orientation val="minMax"/>
          <c:min val="7"/>
        </c:scaling>
        <c:delete val="0"/>
        <c:axPos val="b"/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7018832"/>
        <c:crosses val="max"/>
        <c:crossBetween val="midCat"/>
      </c:valAx>
      <c:valAx>
        <c:axId val="257018832"/>
        <c:scaling>
          <c:orientation val="maxMin"/>
          <c:min val="0"/>
        </c:scaling>
        <c:delete val="0"/>
        <c:axPos val="l"/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25701827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Hydro_Litho_Pp!$D$32:$D$62</c:f>
              <c:numCache>
                <c:formatCode>0</c:formatCode>
                <c:ptCount val="31"/>
                <c:pt idx="0" formatCode="General">
                  <c:v>2200</c:v>
                </c:pt>
                <c:pt idx="1">
                  <c:v>2830.5</c:v>
                </c:pt>
                <c:pt idx="2">
                  <c:v>3461</c:v>
                </c:pt>
                <c:pt idx="3">
                  <c:v>4091.5</c:v>
                </c:pt>
                <c:pt idx="4">
                  <c:v>4722</c:v>
                </c:pt>
                <c:pt idx="5">
                  <c:v>5352.5</c:v>
                </c:pt>
                <c:pt idx="6">
                  <c:v>5983</c:v>
                </c:pt>
                <c:pt idx="7">
                  <c:v>6613.5</c:v>
                </c:pt>
                <c:pt idx="8">
                  <c:v>7244</c:v>
                </c:pt>
                <c:pt idx="9">
                  <c:v>7874.5</c:v>
                </c:pt>
                <c:pt idx="10">
                  <c:v>8505</c:v>
                </c:pt>
                <c:pt idx="11">
                  <c:v>9135.5</c:v>
                </c:pt>
                <c:pt idx="12">
                  <c:v>9766</c:v>
                </c:pt>
                <c:pt idx="13">
                  <c:v>10396.5</c:v>
                </c:pt>
                <c:pt idx="14">
                  <c:v>11027</c:v>
                </c:pt>
                <c:pt idx="15">
                  <c:v>11657.5</c:v>
                </c:pt>
                <c:pt idx="16">
                  <c:v>12288</c:v>
                </c:pt>
                <c:pt idx="17">
                  <c:v>12918.5</c:v>
                </c:pt>
                <c:pt idx="18">
                  <c:v>13549</c:v>
                </c:pt>
                <c:pt idx="19">
                  <c:v>14179.5</c:v>
                </c:pt>
                <c:pt idx="20">
                  <c:v>14810</c:v>
                </c:pt>
                <c:pt idx="21">
                  <c:v>15004</c:v>
                </c:pt>
                <c:pt idx="22">
                  <c:v>15198</c:v>
                </c:pt>
                <c:pt idx="23">
                  <c:v>15392</c:v>
                </c:pt>
                <c:pt idx="24">
                  <c:v>15586</c:v>
                </c:pt>
                <c:pt idx="25">
                  <c:v>15780</c:v>
                </c:pt>
                <c:pt idx="26">
                  <c:v>15974</c:v>
                </c:pt>
                <c:pt idx="27">
                  <c:v>16168</c:v>
                </c:pt>
                <c:pt idx="28">
                  <c:v>16362</c:v>
                </c:pt>
                <c:pt idx="29">
                  <c:v>16556</c:v>
                </c:pt>
                <c:pt idx="30">
                  <c:v>16750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0A-4E49-90CD-7D6AA1EA5E84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Hydro_Litho_Pp!$B$22:$B$62</c:f>
              <c:numCache>
                <c:formatCode>General</c:formatCode>
                <c:ptCount val="41"/>
                <c:pt idx="0">
                  <c:v>0</c:v>
                </c:pt>
                <c:pt idx="1">
                  <c:v>220</c:v>
                </c:pt>
                <c:pt idx="2">
                  <c:v>440</c:v>
                </c:pt>
                <c:pt idx="3">
                  <c:v>660</c:v>
                </c:pt>
                <c:pt idx="4">
                  <c:v>880</c:v>
                </c:pt>
                <c:pt idx="5">
                  <c:v>1100</c:v>
                </c:pt>
                <c:pt idx="6">
                  <c:v>1320</c:v>
                </c:pt>
                <c:pt idx="7">
                  <c:v>1540</c:v>
                </c:pt>
                <c:pt idx="8">
                  <c:v>1760</c:v>
                </c:pt>
                <c:pt idx="9">
                  <c:v>1980</c:v>
                </c:pt>
                <c:pt idx="10">
                  <c:v>2200</c:v>
                </c:pt>
                <c:pt idx="11">
                  <c:v>2486</c:v>
                </c:pt>
                <c:pt idx="12">
                  <c:v>2772</c:v>
                </c:pt>
                <c:pt idx="13">
                  <c:v>3058</c:v>
                </c:pt>
                <c:pt idx="14">
                  <c:v>3344</c:v>
                </c:pt>
                <c:pt idx="15">
                  <c:v>3630</c:v>
                </c:pt>
                <c:pt idx="16">
                  <c:v>3916</c:v>
                </c:pt>
                <c:pt idx="17">
                  <c:v>4202</c:v>
                </c:pt>
                <c:pt idx="18">
                  <c:v>4488</c:v>
                </c:pt>
                <c:pt idx="19">
                  <c:v>4774</c:v>
                </c:pt>
                <c:pt idx="20">
                  <c:v>5060</c:v>
                </c:pt>
                <c:pt idx="21">
                  <c:v>5346</c:v>
                </c:pt>
                <c:pt idx="22">
                  <c:v>5632</c:v>
                </c:pt>
                <c:pt idx="23">
                  <c:v>5918</c:v>
                </c:pt>
                <c:pt idx="24">
                  <c:v>6204</c:v>
                </c:pt>
                <c:pt idx="25">
                  <c:v>6490</c:v>
                </c:pt>
                <c:pt idx="26">
                  <c:v>6776</c:v>
                </c:pt>
                <c:pt idx="27">
                  <c:v>7062</c:v>
                </c:pt>
                <c:pt idx="28">
                  <c:v>7348</c:v>
                </c:pt>
                <c:pt idx="29">
                  <c:v>7634</c:v>
                </c:pt>
                <c:pt idx="30">
                  <c:v>7920</c:v>
                </c:pt>
                <c:pt idx="31">
                  <c:v>8008</c:v>
                </c:pt>
                <c:pt idx="32">
                  <c:v>8096</c:v>
                </c:pt>
                <c:pt idx="33">
                  <c:v>8184</c:v>
                </c:pt>
                <c:pt idx="34">
                  <c:v>8272</c:v>
                </c:pt>
                <c:pt idx="35">
                  <c:v>8360</c:v>
                </c:pt>
                <c:pt idx="36">
                  <c:v>8448</c:v>
                </c:pt>
                <c:pt idx="37">
                  <c:v>8536</c:v>
                </c:pt>
                <c:pt idx="38">
                  <c:v>8624</c:v>
                </c:pt>
                <c:pt idx="39">
                  <c:v>8712</c:v>
                </c:pt>
                <c:pt idx="40">
                  <c:v>8800</c:v>
                </c:pt>
              </c:numCache>
            </c:numRef>
          </c:xVal>
          <c:yVal>
            <c:numRef>
              <c:f>Hydro_Litho_Pp!$A$22:$A$62</c:f>
              <c:numCache>
                <c:formatCode>General</c:formatCode>
                <c:ptCount val="4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5650</c:v>
                </c:pt>
                <c:pt idx="12">
                  <c:v>6300</c:v>
                </c:pt>
                <c:pt idx="13">
                  <c:v>6950</c:v>
                </c:pt>
                <c:pt idx="14">
                  <c:v>7600</c:v>
                </c:pt>
                <c:pt idx="15">
                  <c:v>8250</c:v>
                </c:pt>
                <c:pt idx="16">
                  <c:v>8900</c:v>
                </c:pt>
                <c:pt idx="17">
                  <c:v>9550</c:v>
                </c:pt>
                <c:pt idx="18">
                  <c:v>10200</c:v>
                </c:pt>
                <c:pt idx="19">
                  <c:v>10850</c:v>
                </c:pt>
                <c:pt idx="20">
                  <c:v>11500</c:v>
                </c:pt>
                <c:pt idx="21">
                  <c:v>12150</c:v>
                </c:pt>
                <c:pt idx="22">
                  <c:v>12800</c:v>
                </c:pt>
                <c:pt idx="23">
                  <c:v>13450</c:v>
                </c:pt>
                <c:pt idx="24">
                  <c:v>14100</c:v>
                </c:pt>
                <c:pt idx="25">
                  <c:v>14750</c:v>
                </c:pt>
                <c:pt idx="26">
                  <c:v>15400</c:v>
                </c:pt>
                <c:pt idx="27">
                  <c:v>16050</c:v>
                </c:pt>
                <c:pt idx="28">
                  <c:v>16700</c:v>
                </c:pt>
                <c:pt idx="29">
                  <c:v>17350</c:v>
                </c:pt>
                <c:pt idx="30">
                  <c:v>18000</c:v>
                </c:pt>
                <c:pt idx="31">
                  <c:v>18200</c:v>
                </c:pt>
                <c:pt idx="32">
                  <c:v>18400</c:v>
                </c:pt>
                <c:pt idx="33">
                  <c:v>18600</c:v>
                </c:pt>
                <c:pt idx="34">
                  <c:v>18800</c:v>
                </c:pt>
                <c:pt idx="35">
                  <c:v>19000</c:v>
                </c:pt>
                <c:pt idx="36">
                  <c:v>19200</c:v>
                </c:pt>
                <c:pt idx="37">
                  <c:v>19400</c:v>
                </c:pt>
                <c:pt idx="38">
                  <c:v>19600</c:v>
                </c:pt>
                <c:pt idx="39">
                  <c:v>19800</c:v>
                </c:pt>
                <c:pt idx="4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0A-4E49-90CD-7D6AA1EA5E84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Hydro_Litho_Pp!$E$8</c:f>
              <c:numCache>
                <c:formatCode>General</c:formatCode>
                <c:ptCount val="1"/>
                <c:pt idx="0">
                  <c:v>12000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60A-4E49-90CD-7D6AA1EA5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957392"/>
        <c:axId val="256957952"/>
      </c:scatterChart>
      <c:valAx>
        <c:axId val="256957392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6957952"/>
        <c:crosses val="max"/>
        <c:crossBetween val="midCat"/>
      </c:valAx>
      <c:valAx>
        <c:axId val="256957952"/>
        <c:scaling>
          <c:orientation val="maxMin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695739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Hydro_Litho_Pp!$D$32:$D$62</c:f>
              <c:numCache>
                <c:formatCode>0</c:formatCode>
                <c:ptCount val="31"/>
                <c:pt idx="0" formatCode="General">
                  <c:v>2200</c:v>
                </c:pt>
                <c:pt idx="1">
                  <c:v>2830.5</c:v>
                </c:pt>
                <c:pt idx="2">
                  <c:v>3461</c:v>
                </c:pt>
                <c:pt idx="3">
                  <c:v>4091.5</c:v>
                </c:pt>
                <c:pt idx="4">
                  <c:v>4722</c:v>
                </c:pt>
                <c:pt idx="5">
                  <c:v>5352.5</c:v>
                </c:pt>
                <c:pt idx="6">
                  <c:v>5983</c:v>
                </c:pt>
                <c:pt idx="7">
                  <c:v>6613.5</c:v>
                </c:pt>
                <c:pt idx="8">
                  <c:v>7244</c:v>
                </c:pt>
                <c:pt idx="9">
                  <c:v>7874.5</c:v>
                </c:pt>
                <c:pt idx="10">
                  <c:v>8505</c:v>
                </c:pt>
                <c:pt idx="11">
                  <c:v>9135.5</c:v>
                </c:pt>
                <c:pt idx="12">
                  <c:v>9766</c:v>
                </c:pt>
                <c:pt idx="13">
                  <c:v>10396.5</c:v>
                </c:pt>
                <c:pt idx="14">
                  <c:v>11027</c:v>
                </c:pt>
                <c:pt idx="15">
                  <c:v>11657.5</c:v>
                </c:pt>
                <c:pt idx="16">
                  <c:v>12288</c:v>
                </c:pt>
                <c:pt idx="17">
                  <c:v>12918.5</c:v>
                </c:pt>
                <c:pt idx="18">
                  <c:v>13549</c:v>
                </c:pt>
                <c:pt idx="19">
                  <c:v>14179.5</c:v>
                </c:pt>
                <c:pt idx="20">
                  <c:v>14810</c:v>
                </c:pt>
                <c:pt idx="21">
                  <c:v>15004</c:v>
                </c:pt>
                <c:pt idx="22">
                  <c:v>15198</c:v>
                </c:pt>
                <c:pt idx="23">
                  <c:v>15392</c:v>
                </c:pt>
                <c:pt idx="24">
                  <c:v>15586</c:v>
                </c:pt>
                <c:pt idx="25">
                  <c:v>15780</c:v>
                </c:pt>
                <c:pt idx="26">
                  <c:v>15974</c:v>
                </c:pt>
                <c:pt idx="27">
                  <c:v>16168</c:v>
                </c:pt>
                <c:pt idx="28">
                  <c:v>16362</c:v>
                </c:pt>
                <c:pt idx="29">
                  <c:v>16556</c:v>
                </c:pt>
                <c:pt idx="30">
                  <c:v>16750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061-4FBE-8AFF-38D4CA54E7FC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Hydro_Litho_Pp!$B$22:$B$62</c:f>
              <c:numCache>
                <c:formatCode>General</c:formatCode>
                <c:ptCount val="41"/>
                <c:pt idx="0">
                  <c:v>0</c:v>
                </c:pt>
                <c:pt idx="1">
                  <c:v>220</c:v>
                </c:pt>
                <c:pt idx="2">
                  <c:v>440</c:v>
                </c:pt>
                <c:pt idx="3">
                  <c:v>660</c:v>
                </c:pt>
                <c:pt idx="4">
                  <c:v>880</c:v>
                </c:pt>
                <c:pt idx="5">
                  <c:v>1100</c:v>
                </c:pt>
                <c:pt idx="6">
                  <c:v>1320</c:v>
                </c:pt>
                <c:pt idx="7">
                  <c:v>1540</c:v>
                </c:pt>
                <c:pt idx="8">
                  <c:v>1760</c:v>
                </c:pt>
                <c:pt idx="9">
                  <c:v>1980</c:v>
                </c:pt>
                <c:pt idx="10">
                  <c:v>2200</c:v>
                </c:pt>
                <c:pt idx="11">
                  <c:v>2486</c:v>
                </c:pt>
                <c:pt idx="12">
                  <c:v>2772</c:v>
                </c:pt>
                <c:pt idx="13">
                  <c:v>3058</c:v>
                </c:pt>
                <c:pt idx="14">
                  <c:v>3344</c:v>
                </c:pt>
                <c:pt idx="15">
                  <c:v>3630</c:v>
                </c:pt>
                <c:pt idx="16">
                  <c:v>3916</c:v>
                </c:pt>
                <c:pt idx="17">
                  <c:v>4202</c:v>
                </c:pt>
                <c:pt idx="18">
                  <c:v>4488</c:v>
                </c:pt>
                <c:pt idx="19">
                  <c:v>4774</c:v>
                </c:pt>
                <c:pt idx="20">
                  <c:v>5060</c:v>
                </c:pt>
                <c:pt idx="21">
                  <c:v>5346</c:v>
                </c:pt>
                <c:pt idx="22">
                  <c:v>5632</c:v>
                </c:pt>
                <c:pt idx="23">
                  <c:v>5918</c:v>
                </c:pt>
                <c:pt idx="24">
                  <c:v>6204</c:v>
                </c:pt>
                <c:pt idx="25">
                  <c:v>6490</c:v>
                </c:pt>
                <c:pt idx="26">
                  <c:v>6776</c:v>
                </c:pt>
                <c:pt idx="27">
                  <c:v>7062</c:v>
                </c:pt>
                <c:pt idx="28">
                  <c:v>7348</c:v>
                </c:pt>
                <c:pt idx="29">
                  <c:v>7634</c:v>
                </c:pt>
                <c:pt idx="30">
                  <c:v>7920</c:v>
                </c:pt>
                <c:pt idx="31">
                  <c:v>8008</c:v>
                </c:pt>
                <c:pt idx="32">
                  <c:v>8096</c:v>
                </c:pt>
                <c:pt idx="33">
                  <c:v>8184</c:v>
                </c:pt>
                <c:pt idx="34">
                  <c:v>8272</c:v>
                </c:pt>
                <c:pt idx="35">
                  <c:v>8360</c:v>
                </c:pt>
                <c:pt idx="36">
                  <c:v>8448</c:v>
                </c:pt>
                <c:pt idx="37">
                  <c:v>8536</c:v>
                </c:pt>
                <c:pt idx="38">
                  <c:v>8624</c:v>
                </c:pt>
                <c:pt idx="39">
                  <c:v>8712</c:v>
                </c:pt>
                <c:pt idx="40">
                  <c:v>8800</c:v>
                </c:pt>
              </c:numCache>
            </c:numRef>
          </c:xVal>
          <c:yVal>
            <c:numRef>
              <c:f>Hydro_Litho_Pp!$A$22:$A$62</c:f>
              <c:numCache>
                <c:formatCode>General</c:formatCode>
                <c:ptCount val="4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5650</c:v>
                </c:pt>
                <c:pt idx="12">
                  <c:v>6300</c:v>
                </c:pt>
                <c:pt idx="13">
                  <c:v>6950</c:v>
                </c:pt>
                <c:pt idx="14">
                  <c:v>7600</c:v>
                </c:pt>
                <c:pt idx="15">
                  <c:v>8250</c:v>
                </c:pt>
                <c:pt idx="16">
                  <c:v>8900</c:v>
                </c:pt>
                <c:pt idx="17">
                  <c:v>9550</c:v>
                </c:pt>
                <c:pt idx="18">
                  <c:v>10200</c:v>
                </c:pt>
                <c:pt idx="19">
                  <c:v>10850</c:v>
                </c:pt>
                <c:pt idx="20">
                  <c:v>11500</c:v>
                </c:pt>
                <c:pt idx="21">
                  <c:v>12150</c:v>
                </c:pt>
                <c:pt idx="22">
                  <c:v>12800</c:v>
                </c:pt>
                <c:pt idx="23">
                  <c:v>13450</c:v>
                </c:pt>
                <c:pt idx="24">
                  <c:v>14100</c:v>
                </c:pt>
                <c:pt idx="25">
                  <c:v>14750</c:v>
                </c:pt>
                <c:pt idx="26">
                  <c:v>15400</c:v>
                </c:pt>
                <c:pt idx="27">
                  <c:v>16050</c:v>
                </c:pt>
                <c:pt idx="28">
                  <c:v>16700</c:v>
                </c:pt>
                <c:pt idx="29">
                  <c:v>17350</c:v>
                </c:pt>
                <c:pt idx="30">
                  <c:v>18000</c:v>
                </c:pt>
                <c:pt idx="31">
                  <c:v>18200</c:v>
                </c:pt>
                <c:pt idx="32">
                  <c:v>18400</c:v>
                </c:pt>
                <c:pt idx="33">
                  <c:v>18600</c:v>
                </c:pt>
                <c:pt idx="34">
                  <c:v>18800</c:v>
                </c:pt>
                <c:pt idx="35">
                  <c:v>19000</c:v>
                </c:pt>
                <c:pt idx="36">
                  <c:v>19200</c:v>
                </c:pt>
                <c:pt idx="37">
                  <c:v>19400</c:v>
                </c:pt>
                <c:pt idx="38">
                  <c:v>19600</c:v>
                </c:pt>
                <c:pt idx="39">
                  <c:v>19800</c:v>
                </c:pt>
                <c:pt idx="4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061-4FBE-8AFF-38D4CA54E7FC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Hydro_Litho_Pp!$E$8</c:f>
              <c:numCache>
                <c:formatCode>General</c:formatCode>
                <c:ptCount val="1"/>
                <c:pt idx="0">
                  <c:v>12000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061-4FBE-8AFF-38D4CA54E7FC}"/>
            </c:ext>
          </c:extLst>
        </c:ser>
        <c:ser>
          <c:idx val="1"/>
          <c:order val="3"/>
          <c:tx>
            <c:v>Gas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Wellbore_Pressure!$B$12:$B$31</c:f>
              <c:numCache>
                <c:formatCode>General</c:formatCode>
                <c:ptCount val="20"/>
                <c:pt idx="0">
                  <c:v>9530</c:v>
                </c:pt>
                <c:pt idx="1">
                  <c:v>9660</c:v>
                </c:pt>
                <c:pt idx="2">
                  <c:v>9790</c:v>
                </c:pt>
                <c:pt idx="3">
                  <c:v>9920</c:v>
                </c:pt>
                <c:pt idx="4">
                  <c:v>10050</c:v>
                </c:pt>
                <c:pt idx="5">
                  <c:v>10180</c:v>
                </c:pt>
                <c:pt idx="6">
                  <c:v>10310</c:v>
                </c:pt>
                <c:pt idx="7">
                  <c:v>10440</c:v>
                </c:pt>
                <c:pt idx="8">
                  <c:v>10570</c:v>
                </c:pt>
                <c:pt idx="9">
                  <c:v>10700</c:v>
                </c:pt>
                <c:pt idx="10">
                  <c:v>10830</c:v>
                </c:pt>
                <c:pt idx="11">
                  <c:v>10960</c:v>
                </c:pt>
                <c:pt idx="12">
                  <c:v>11090</c:v>
                </c:pt>
                <c:pt idx="13">
                  <c:v>11220</c:v>
                </c:pt>
                <c:pt idx="14">
                  <c:v>11350</c:v>
                </c:pt>
                <c:pt idx="15">
                  <c:v>11480</c:v>
                </c:pt>
                <c:pt idx="16">
                  <c:v>11610</c:v>
                </c:pt>
                <c:pt idx="17">
                  <c:v>11740</c:v>
                </c:pt>
                <c:pt idx="18">
                  <c:v>11870</c:v>
                </c:pt>
                <c:pt idx="19">
                  <c:v>12000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061-4FBE-8AFF-38D4CA54E7FC}"/>
            </c:ext>
          </c:extLst>
        </c:ser>
        <c:ser>
          <c:idx val="4"/>
          <c:order val="4"/>
          <c:tx>
            <c:v>Oil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Wellbore_Pressure!$E$11:$E$31</c:f>
              <c:numCache>
                <c:formatCode>General</c:formatCode>
                <c:ptCount val="21"/>
                <c:pt idx="0">
                  <c:v>8100</c:v>
                </c:pt>
                <c:pt idx="1">
                  <c:v>8295</c:v>
                </c:pt>
                <c:pt idx="2">
                  <c:v>8490</c:v>
                </c:pt>
                <c:pt idx="3">
                  <c:v>8685</c:v>
                </c:pt>
                <c:pt idx="4">
                  <c:v>8880</c:v>
                </c:pt>
                <c:pt idx="5">
                  <c:v>9075</c:v>
                </c:pt>
                <c:pt idx="6">
                  <c:v>9270</c:v>
                </c:pt>
                <c:pt idx="7">
                  <c:v>9465</c:v>
                </c:pt>
                <c:pt idx="8">
                  <c:v>9660</c:v>
                </c:pt>
                <c:pt idx="9">
                  <c:v>9855</c:v>
                </c:pt>
                <c:pt idx="10">
                  <c:v>10050</c:v>
                </c:pt>
                <c:pt idx="11">
                  <c:v>10245</c:v>
                </c:pt>
                <c:pt idx="12">
                  <c:v>10440</c:v>
                </c:pt>
                <c:pt idx="13">
                  <c:v>10635</c:v>
                </c:pt>
                <c:pt idx="14">
                  <c:v>10830</c:v>
                </c:pt>
                <c:pt idx="15">
                  <c:v>11025</c:v>
                </c:pt>
                <c:pt idx="16">
                  <c:v>11220</c:v>
                </c:pt>
                <c:pt idx="17">
                  <c:v>11415</c:v>
                </c:pt>
                <c:pt idx="18">
                  <c:v>11610</c:v>
                </c:pt>
                <c:pt idx="19">
                  <c:v>11805</c:v>
                </c:pt>
                <c:pt idx="20">
                  <c:v>12000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061-4FBE-8AFF-38D4CA54E7FC}"/>
            </c:ext>
          </c:extLst>
        </c:ser>
        <c:ser>
          <c:idx val="5"/>
          <c:order val="5"/>
          <c:tx>
            <c:v>water</c:v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Wellbore_Pressure!$H$11:$H$31</c:f>
              <c:numCache>
                <c:formatCode>General</c:formatCode>
                <c:ptCount val="21"/>
                <c:pt idx="0">
                  <c:v>6280</c:v>
                </c:pt>
                <c:pt idx="1">
                  <c:v>6566</c:v>
                </c:pt>
                <c:pt idx="2">
                  <c:v>6852</c:v>
                </c:pt>
                <c:pt idx="3">
                  <c:v>7138</c:v>
                </c:pt>
                <c:pt idx="4">
                  <c:v>7424</c:v>
                </c:pt>
                <c:pt idx="5">
                  <c:v>7710</c:v>
                </c:pt>
                <c:pt idx="6">
                  <c:v>7996</c:v>
                </c:pt>
                <c:pt idx="7">
                  <c:v>8282</c:v>
                </c:pt>
                <c:pt idx="8">
                  <c:v>8568</c:v>
                </c:pt>
                <c:pt idx="9">
                  <c:v>8854</c:v>
                </c:pt>
                <c:pt idx="10">
                  <c:v>9140</c:v>
                </c:pt>
                <c:pt idx="11">
                  <c:v>9426</c:v>
                </c:pt>
                <c:pt idx="12">
                  <c:v>9712</c:v>
                </c:pt>
                <c:pt idx="13">
                  <c:v>9998</c:v>
                </c:pt>
                <c:pt idx="14">
                  <c:v>10284</c:v>
                </c:pt>
                <c:pt idx="15">
                  <c:v>10570</c:v>
                </c:pt>
                <c:pt idx="16">
                  <c:v>10856</c:v>
                </c:pt>
                <c:pt idx="17">
                  <c:v>11142</c:v>
                </c:pt>
                <c:pt idx="18">
                  <c:v>11428</c:v>
                </c:pt>
                <c:pt idx="19">
                  <c:v>11714</c:v>
                </c:pt>
                <c:pt idx="20">
                  <c:v>12000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061-4FBE-8AFF-38D4CA54E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2475824"/>
        <c:axId val="252476384"/>
      </c:scatterChart>
      <c:valAx>
        <c:axId val="252475824"/>
        <c:scaling>
          <c:orientation val="minMax"/>
          <c:min val="0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2476384"/>
        <c:crosses val="max"/>
        <c:crossBetween val="midCat"/>
      </c:valAx>
      <c:valAx>
        <c:axId val="252476384"/>
        <c:scaling>
          <c:orientation val="maxMin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2475824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Hydro_Litho_Pp!$F$32:$F$62</c:f>
              <c:numCache>
                <c:formatCode>0</c:formatCode>
                <c:ptCount val="31"/>
                <c:pt idx="0">
                  <c:v>0</c:v>
                </c:pt>
                <c:pt idx="1">
                  <c:v>344.5</c:v>
                </c:pt>
                <c:pt idx="2">
                  <c:v>689</c:v>
                </c:pt>
                <c:pt idx="3">
                  <c:v>1033.5</c:v>
                </c:pt>
                <c:pt idx="4">
                  <c:v>1378</c:v>
                </c:pt>
                <c:pt idx="5">
                  <c:v>1722.5</c:v>
                </c:pt>
                <c:pt idx="6">
                  <c:v>2067</c:v>
                </c:pt>
                <c:pt idx="7">
                  <c:v>2411.5</c:v>
                </c:pt>
                <c:pt idx="8">
                  <c:v>2756</c:v>
                </c:pt>
                <c:pt idx="9">
                  <c:v>3100.5</c:v>
                </c:pt>
                <c:pt idx="10">
                  <c:v>3445</c:v>
                </c:pt>
                <c:pt idx="11">
                  <c:v>3789.5</c:v>
                </c:pt>
                <c:pt idx="12">
                  <c:v>4134</c:v>
                </c:pt>
                <c:pt idx="13">
                  <c:v>4478.5</c:v>
                </c:pt>
                <c:pt idx="14">
                  <c:v>4823</c:v>
                </c:pt>
                <c:pt idx="15">
                  <c:v>5167.5</c:v>
                </c:pt>
                <c:pt idx="16">
                  <c:v>5512</c:v>
                </c:pt>
                <c:pt idx="17">
                  <c:v>5856.5</c:v>
                </c:pt>
                <c:pt idx="18">
                  <c:v>6201</c:v>
                </c:pt>
                <c:pt idx="19">
                  <c:v>6545.5</c:v>
                </c:pt>
                <c:pt idx="20">
                  <c:v>6890</c:v>
                </c:pt>
                <c:pt idx="21">
                  <c:v>6996</c:v>
                </c:pt>
                <c:pt idx="22">
                  <c:v>7102</c:v>
                </c:pt>
                <c:pt idx="23">
                  <c:v>7208</c:v>
                </c:pt>
                <c:pt idx="24">
                  <c:v>7314</c:v>
                </c:pt>
                <c:pt idx="25">
                  <c:v>7420</c:v>
                </c:pt>
                <c:pt idx="26">
                  <c:v>7526</c:v>
                </c:pt>
                <c:pt idx="27">
                  <c:v>7632</c:v>
                </c:pt>
                <c:pt idx="28">
                  <c:v>7738</c:v>
                </c:pt>
                <c:pt idx="29">
                  <c:v>7844</c:v>
                </c:pt>
                <c:pt idx="30">
                  <c:v>7950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D2-4AC3-928D-A4A0BEB5E579}"/>
            </c:ext>
          </c:extLst>
        </c:ser>
        <c:ser>
          <c:idx val="3"/>
          <c:order val="1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Hydro_Litho_Pp!$E$9</c:f>
              <c:numCache>
                <c:formatCode>General</c:formatCode>
                <c:ptCount val="1"/>
                <c:pt idx="0">
                  <c:v>4080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CD2-4AC3-928D-A4A0BEB5E579}"/>
            </c:ext>
          </c:extLst>
        </c:ser>
        <c:ser>
          <c:idx val="0"/>
          <c:order val="2"/>
          <c:tx>
            <c:v>gas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Wellbore_Pressure!$C$11:$C$31</c:f>
              <c:numCache>
                <c:formatCode>0</c:formatCode>
                <c:ptCount val="21"/>
                <c:pt idx="0">
                  <c:v>7200</c:v>
                </c:pt>
                <c:pt idx="1">
                  <c:v>7044</c:v>
                </c:pt>
                <c:pt idx="2">
                  <c:v>6888</c:v>
                </c:pt>
                <c:pt idx="3">
                  <c:v>6732</c:v>
                </c:pt>
                <c:pt idx="4">
                  <c:v>6576</c:v>
                </c:pt>
                <c:pt idx="5">
                  <c:v>6420</c:v>
                </c:pt>
                <c:pt idx="6">
                  <c:v>6264</c:v>
                </c:pt>
                <c:pt idx="7">
                  <c:v>6108</c:v>
                </c:pt>
                <c:pt idx="8">
                  <c:v>5952</c:v>
                </c:pt>
                <c:pt idx="9">
                  <c:v>5796</c:v>
                </c:pt>
                <c:pt idx="10">
                  <c:v>5640</c:v>
                </c:pt>
                <c:pt idx="11">
                  <c:v>5484</c:v>
                </c:pt>
                <c:pt idx="12">
                  <c:v>5328</c:v>
                </c:pt>
                <c:pt idx="13">
                  <c:v>5172</c:v>
                </c:pt>
                <c:pt idx="14">
                  <c:v>5016</c:v>
                </c:pt>
                <c:pt idx="15">
                  <c:v>4860</c:v>
                </c:pt>
                <c:pt idx="16">
                  <c:v>4704</c:v>
                </c:pt>
                <c:pt idx="17">
                  <c:v>4548</c:v>
                </c:pt>
                <c:pt idx="18">
                  <c:v>4392</c:v>
                </c:pt>
                <c:pt idx="19">
                  <c:v>4236</c:v>
                </c:pt>
                <c:pt idx="20">
                  <c:v>4080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CD2-4AC3-928D-A4A0BEB5E579}"/>
            </c:ext>
          </c:extLst>
        </c:ser>
        <c:ser>
          <c:idx val="1"/>
          <c:order val="3"/>
          <c:tx>
            <c:v>oil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Wellbore_Pressure!$F$11:$F$31</c:f>
              <c:numCache>
                <c:formatCode>General</c:formatCode>
                <c:ptCount val="21"/>
                <c:pt idx="0">
                  <c:v>5900</c:v>
                </c:pt>
                <c:pt idx="1">
                  <c:v>5809</c:v>
                </c:pt>
                <c:pt idx="2">
                  <c:v>5718</c:v>
                </c:pt>
                <c:pt idx="3">
                  <c:v>5627</c:v>
                </c:pt>
                <c:pt idx="4">
                  <c:v>5536</c:v>
                </c:pt>
                <c:pt idx="5">
                  <c:v>5445</c:v>
                </c:pt>
                <c:pt idx="6">
                  <c:v>5354</c:v>
                </c:pt>
                <c:pt idx="7">
                  <c:v>5263</c:v>
                </c:pt>
                <c:pt idx="8">
                  <c:v>5172</c:v>
                </c:pt>
                <c:pt idx="9">
                  <c:v>5081</c:v>
                </c:pt>
                <c:pt idx="10">
                  <c:v>4990</c:v>
                </c:pt>
                <c:pt idx="11">
                  <c:v>4899</c:v>
                </c:pt>
                <c:pt idx="12">
                  <c:v>4808</c:v>
                </c:pt>
                <c:pt idx="13">
                  <c:v>4717</c:v>
                </c:pt>
                <c:pt idx="14">
                  <c:v>4626</c:v>
                </c:pt>
                <c:pt idx="15">
                  <c:v>4535</c:v>
                </c:pt>
                <c:pt idx="16">
                  <c:v>4444</c:v>
                </c:pt>
                <c:pt idx="17">
                  <c:v>4353</c:v>
                </c:pt>
                <c:pt idx="18">
                  <c:v>4262</c:v>
                </c:pt>
                <c:pt idx="19">
                  <c:v>4171</c:v>
                </c:pt>
                <c:pt idx="20">
                  <c:v>4080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CD2-4AC3-928D-A4A0BEB5E579}"/>
            </c:ext>
          </c:extLst>
        </c:ser>
        <c:ser>
          <c:idx val="4"/>
          <c:order val="4"/>
          <c:tx>
            <c:v>water</c:v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Wellbore_Pressure!$I$11:$I$31</c:f>
              <c:numCache>
                <c:formatCode>General</c:formatCode>
                <c:ptCount val="21"/>
                <c:pt idx="0">
                  <c:v>4080</c:v>
                </c:pt>
                <c:pt idx="1">
                  <c:v>4080</c:v>
                </c:pt>
                <c:pt idx="2">
                  <c:v>4080</c:v>
                </c:pt>
                <c:pt idx="3">
                  <c:v>4080</c:v>
                </c:pt>
                <c:pt idx="4">
                  <c:v>4080</c:v>
                </c:pt>
                <c:pt idx="5">
                  <c:v>4080</c:v>
                </c:pt>
                <c:pt idx="6">
                  <c:v>4080</c:v>
                </c:pt>
                <c:pt idx="7">
                  <c:v>4080</c:v>
                </c:pt>
                <c:pt idx="8">
                  <c:v>4080</c:v>
                </c:pt>
                <c:pt idx="9">
                  <c:v>4080</c:v>
                </c:pt>
                <c:pt idx="10">
                  <c:v>4080</c:v>
                </c:pt>
                <c:pt idx="11">
                  <c:v>4080</c:v>
                </c:pt>
                <c:pt idx="12">
                  <c:v>4080</c:v>
                </c:pt>
                <c:pt idx="13">
                  <c:v>4080</c:v>
                </c:pt>
                <c:pt idx="14">
                  <c:v>4080</c:v>
                </c:pt>
                <c:pt idx="15">
                  <c:v>4080</c:v>
                </c:pt>
                <c:pt idx="16">
                  <c:v>4080</c:v>
                </c:pt>
                <c:pt idx="17">
                  <c:v>4080</c:v>
                </c:pt>
                <c:pt idx="18">
                  <c:v>4080</c:v>
                </c:pt>
                <c:pt idx="19">
                  <c:v>4080</c:v>
                </c:pt>
                <c:pt idx="20">
                  <c:v>4080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CD2-4AC3-928D-A4A0BEB5E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489200"/>
        <c:axId val="85489760"/>
      </c:scatterChart>
      <c:valAx>
        <c:axId val="85489200"/>
        <c:scaling>
          <c:orientation val="minMax"/>
          <c:min val="0"/>
        </c:scaling>
        <c:delete val="0"/>
        <c:axPos val="b"/>
        <c:numFmt formatCode="0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85489760"/>
        <c:crosses val="max"/>
        <c:crossBetween val="midCat"/>
      </c:valAx>
      <c:valAx>
        <c:axId val="85489760"/>
        <c:scaling>
          <c:orientation val="maxMin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85489200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2"/>
          <c:order val="0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Hydro_Litho_Pp!$E$32:$E$62</c:f>
              <c:numCache>
                <c:formatCode>0.00</c:formatCode>
                <c:ptCount val="31"/>
                <c:pt idx="0">
                  <c:v>8.4615384615384617</c:v>
                </c:pt>
                <c:pt idx="1">
                  <c:v>9.6341048332198778</c:v>
                </c:pt>
                <c:pt idx="2">
                  <c:v>10.564713064713064</c:v>
                </c:pt>
                <c:pt idx="3">
                  <c:v>11.321250691754289</c:v>
                </c:pt>
                <c:pt idx="4">
                  <c:v>11.948380566801619</c:v>
                </c:pt>
                <c:pt idx="5">
                  <c:v>12.476689976689977</c:v>
                </c:pt>
                <c:pt idx="6">
                  <c:v>12.927830596369922</c:v>
                </c:pt>
                <c:pt idx="7">
                  <c:v>13.317559403946838</c:v>
                </c:pt>
                <c:pt idx="8">
                  <c:v>13.65761689291101</c:v>
                </c:pt>
                <c:pt idx="9">
                  <c:v>13.956930166607586</c:v>
                </c:pt>
                <c:pt idx="10">
                  <c:v>14.222408026755852</c:v>
                </c:pt>
                <c:pt idx="11">
                  <c:v>14.459480848369736</c:v>
                </c:pt>
                <c:pt idx="12">
                  <c:v>14.67247596153846</c:v>
                </c:pt>
                <c:pt idx="13">
                  <c:v>14.864884186445524</c:v>
                </c:pt>
                <c:pt idx="14">
                  <c:v>15.039552645935624</c:v>
                </c:pt>
                <c:pt idx="15">
                  <c:v>15.198826597131681</c:v>
                </c:pt>
                <c:pt idx="16">
                  <c:v>15.344655344655344</c:v>
                </c:pt>
                <c:pt idx="17">
                  <c:v>15.478672417924752</c:v>
                </c:pt>
                <c:pt idx="18">
                  <c:v>15.602257024412712</c:v>
                </c:pt>
                <c:pt idx="19">
                  <c:v>15.716581689204165</c:v>
                </c:pt>
                <c:pt idx="20">
                  <c:v>15.822649572649572</c:v>
                </c:pt>
                <c:pt idx="21">
                  <c:v>15.853761622992392</c:v>
                </c:pt>
                <c:pt idx="22">
                  <c:v>15.884197324414716</c:v>
                </c:pt>
                <c:pt idx="23">
                  <c:v>15.913978494623654</c:v>
                </c:pt>
                <c:pt idx="24">
                  <c:v>15.943126022913257</c:v>
                </c:pt>
                <c:pt idx="25">
                  <c:v>15.971659919028339</c:v>
                </c:pt>
                <c:pt idx="26">
                  <c:v>15.999599358974359</c:v>
                </c:pt>
                <c:pt idx="27">
                  <c:v>16.026962727993656</c:v>
                </c:pt>
                <c:pt idx="28">
                  <c:v>16.053767660910516</c:v>
                </c:pt>
                <c:pt idx="29">
                  <c:v>16.08003108003108</c:v>
                </c:pt>
                <c:pt idx="30">
                  <c:v>16.10576923076923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DA-4147-A3DA-7D23A8A3ACA1}"/>
            </c:ext>
          </c:extLst>
        </c:ser>
        <c:ser>
          <c:idx val="0"/>
          <c:order val="1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Hydro_Litho_Pp!$C$23:$C$62</c:f>
              <c:numCache>
                <c:formatCode>0.00</c:formatCode>
                <c:ptCount val="40"/>
                <c:pt idx="0">
                  <c:v>8.4615384615384617</c:v>
                </c:pt>
                <c:pt idx="1">
                  <c:v>8.4615384615384617</c:v>
                </c:pt>
                <c:pt idx="2">
                  <c:v>8.4615384615384617</c:v>
                </c:pt>
                <c:pt idx="3">
                  <c:v>8.4615384615384617</c:v>
                </c:pt>
                <c:pt idx="4">
                  <c:v>8.4615384615384617</c:v>
                </c:pt>
                <c:pt idx="5">
                  <c:v>8.4615384615384617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8.4615384615384617</c:v>
                </c:pt>
                <c:pt idx="9">
                  <c:v>8.4615384615384617</c:v>
                </c:pt>
                <c:pt idx="10">
                  <c:v>8.4615384615384617</c:v>
                </c:pt>
                <c:pt idx="11">
                  <c:v>8.4615384615384617</c:v>
                </c:pt>
                <c:pt idx="12">
                  <c:v>8.4615384615384617</c:v>
                </c:pt>
                <c:pt idx="13">
                  <c:v>8.4615384615384617</c:v>
                </c:pt>
                <c:pt idx="14">
                  <c:v>8.4615384615384617</c:v>
                </c:pt>
                <c:pt idx="15">
                  <c:v>8.4615384615384617</c:v>
                </c:pt>
                <c:pt idx="16">
                  <c:v>8.4615384615384617</c:v>
                </c:pt>
                <c:pt idx="17">
                  <c:v>8.4615384615384617</c:v>
                </c:pt>
                <c:pt idx="18">
                  <c:v>8.4615384615384617</c:v>
                </c:pt>
                <c:pt idx="19">
                  <c:v>8.4615384615384617</c:v>
                </c:pt>
                <c:pt idx="20">
                  <c:v>8.4615384615384617</c:v>
                </c:pt>
                <c:pt idx="21">
                  <c:v>8.4615384615384617</c:v>
                </c:pt>
                <c:pt idx="22">
                  <c:v>8.4615384615384617</c:v>
                </c:pt>
                <c:pt idx="23">
                  <c:v>8.4615384615384617</c:v>
                </c:pt>
                <c:pt idx="24">
                  <c:v>8.4615384615384617</c:v>
                </c:pt>
                <c:pt idx="25">
                  <c:v>8.4615384615384617</c:v>
                </c:pt>
                <c:pt idx="26">
                  <c:v>8.4615384615384617</c:v>
                </c:pt>
                <c:pt idx="27">
                  <c:v>8.4615384615384617</c:v>
                </c:pt>
                <c:pt idx="28">
                  <c:v>8.4615384615384617</c:v>
                </c:pt>
                <c:pt idx="29">
                  <c:v>8.4615384615384617</c:v>
                </c:pt>
                <c:pt idx="30">
                  <c:v>8.4615384615384617</c:v>
                </c:pt>
                <c:pt idx="31">
                  <c:v>8.4615384615384617</c:v>
                </c:pt>
                <c:pt idx="32">
                  <c:v>8.4615384615384617</c:v>
                </c:pt>
                <c:pt idx="33">
                  <c:v>8.4615384615384617</c:v>
                </c:pt>
                <c:pt idx="34">
                  <c:v>8.4615384615384617</c:v>
                </c:pt>
                <c:pt idx="35">
                  <c:v>8.4615384615384617</c:v>
                </c:pt>
                <c:pt idx="36">
                  <c:v>8.4615384615384617</c:v>
                </c:pt>
                <c:pt idx="37">
                  <c:v>8.4615384615384617</c:v>
                </c:pt>
                <c:pt idx="38">
                  <c:v>8.4615384615384617</c:v>
                </c:pt>
                <c:pt idx="39">
                  <c:v>8.4615384615384617</c:v>
                </c:pt>
              </c:numCache>
            </c:numRef>
          </c:xVal>
          <c:yVal>
            <c:numRef>
              <c:f>Hydro_Litho_Pp!$A$23:$A$62</c:f>
              <c:numCache>
                <c:formatCode>General</c:formatCode>
                <c:ptCount val="40"/>
                <c:pt idx="0">
                  <c:v>500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5650</c:v>
                </c:pt>
                <c:pt idx="11">
                  <c:v>6300</c:v>
                </c:pt>
                <c:pt idx="12">
                  <c:v>6950</c:v>
                </c:pt>
                <c:pt idx="13">
                  <c:v>7600</c:v>
                </c:pt>
                <c:pt idx="14">
                  <c:v>8250</c:v>
                </c:pt>
                <c:pt idx="15">
                  <c:v>8900</c:v>
                </c:pt>
                <c:pt idx="16">
                  <c:v>9550</c:v>
                </c:pt>
                <c:pt idx="17">
                  <c:v>10200</c:v>
                </c:pt>
                <c:pt idx="18">
                  <c:v>10850</c:v>
                </c:pt>
                <c:pt idx="19">
                  <c:v>11500</c:v>
                </c:pt>
                <c:pt idx="20">
                  <c:v>12150</c:v>
                </c:pt>
                <c:pt idx="21">
                  <c:v>12800</c:v>
                </c:pt>
                <c:pt idx="22">
                  <c:v>13450</c:v>
                </c:pt>
                <c:pt idx="23">
                  <c:v>14100</c:v>
                </c:pt>
                <c:pt idx="24">
                  <c:v>14750</c:v>
                </c:pt>
                <c:pt idx="25">
                  <c:v>15400</c:v>
                </c:pt>
                <c:pt idx="26">
                  <c:v>16050</c:v>
                </c:pt>
                <c:pt idx="27">
                  <c:v>16700</c:v>
                </c:pt>
                <c:pt idx="28">
                  <c:v>17350</c:v>
                </c:pt>
                <c:pt idx="29">
                  <c:v>18000</c:v>
                </c:pt>
                <c:pt idx="30">
                  <c:v>18200</c:v>
                </c:pt>
                <c:pt idx="31">
                  <c:v>18400</c:v>
                </c:pt>
                <c:pt idx="32">
                  <c:v>18600</c:v>
                </c:pt>
                <c:pt idx="33">
                  <c:v>18800</c:v>
                </c:pt>
                <c:pt idx="34">
                  <c:v>19000</c:v>
                </c:pt>
                <c:pt idx="35">
                  <c:v>19200</c:v>
                </c:pt>
                <c:pt idx="36">
                  <c:v>19400</c:v>
                </c:pt>
                <c:pt idx="37">
                  <c:v>19600</c:v>
                </c:pt>
                <c:pt idx="38">
                  <c:v>19800</c:v>
                </c:pt>
                <c:pt idx="39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DA-4147-A3DA-7D23A8A3ACA1}"/>
            </c:ext>
          </c:extLst>
        </c:ser>
        <c:ser>
          <c:idx val="3"/>
          <c:order val="2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Hydro_Litho_Pp!$E$10</c:f>
              <c:numCache>
                <c:formatCode>0.00</c:formatCode>
                <c:ptCount val="1"/>
                <c:pt idx="0">
                  <c:v>12.820512820512819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0DA-4147-A3DA-7D23A8A3ACA1}"/>
            </c:ext>
          </c:extLst>
        </c:ser>
        <c:ser>
          <c:idx val="1"/>
          <c:order val="3"/>
          <c:tx>
            <c:v>gas</c:v>
          </c:tx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Wellbore_Pressure!$D$11:$D$31</c:f>
              <c:numCache>
                <c:formatCode>0.00</c:formatCode>
                <c:ptCount val="21"/>
                <c:pt idx="0">
                  <c:v>36.153846153846153</c:v>
                </c:pt>
                <c:pt idx="1">
                  <c:v>32.437031994554118</c:v>
                </c:pt>
                <c:pt idx="2">
                  <c:v>29.487179487179489</c:v>
                </c:pt>
                <c:pt idx="3">
                  <c:v>27.089097952407304</c:v>
                </c:pt>
                <c:pt idx="4">
                  <c:v>25.101214574898787</c:v>
                </c:pt>
                <c:pt idx="5">
                  <c:v>23.426573426573427</c:v>
                </c:pt>
                <c:pt idx="6">
                  <c:v>21.996542783059638</c:v>
                </c:pt>
                <c:pt idx="7">
                  <c:v>20.761175996778089</c:v>
                </c:pt>
                <c:pt idx="8">
                  <c:v>19.683257918552034</c:v>
                </c:pt>
                <c:pt idx="9">
                  <c:v>18.734491315136477</c:v>
                </c:pt>
                <c:pt idx="10">
                  <c:v>17.892976588628763</c:v>
                </c:pt>
                <c:pt idx="11">
                  <c:v>17.141500474833808</c:v>
                </c:pt>
                <c:pt idx="12">
                  <c:v>16.466346153846153</c:v>
                </c:pt>
                <c:pt idx="13">
                  <c:v>15.856448384329424</c:v>
                </c:pt>
                <c:pt idx="14">
                  <c:v>15.302782324058921</c:v>
                </c:pt>
                <c:pt idx="15">
                  <c:v>14.797913950456323</c:v>
                </c:pt>
                <c:pt idx="16">
                  <c:v>14.335664335664335</c:v>
                </c:pt>
                <c:pt idx="17">
                  <c:v>13.910855499640546</c:v>
                </c:pt>
                <c:pt idx="18">
                  <c:v>13.519115614923999</c:v>
                </c:pt>
                <c:pt idx="19">
                  <c:v>13.156727998226557</c:v>
                </c:pt>
                <c:pt idx="20">
                  <c:v>12.820512820512819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0DA-4147-A3DA-7D23A8A3ACA1}"/>
            </c:ext>
          </c:extLst>
        </c:ser>
        <c:ser>
          <c:idx val="4"/>
          <c:order val="4"/>
          <c:tx>
            <c:v>oil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Wellbore_Pressure!$G$11:$G$31</c:f>
              <c:numCache>
                <c:formatCode>0.00</c:formatCode>
                <c:ptCount val="21"/>
                <c:pt idx="0">
                  <c:v>31.153846153846153</c:v>
                </c:pt>
                <c:pt idx="1">
                  <c:v>28.233492171545269</c:v>
                </c:pt>
                <c:pt idx="2">
                  <c:v>25.915750915750916</c:v>
                </c:pt>
                <c:pt idx="3">
                  <c:v>24.031543995572768</c:v>
                </c:pt>
                <c:pt idx="4">
                  <c:v>22.469635627530366</c:v>
                </c:pt>
                <c:pt idx="5">
                  <c:v>21.153846153846153</c:v>
                </c:pt>
                <c:pt idx="6">
                  <c:v>20.030250648228176</c:v>
                </c:pt>
                <c:pt idx="7">
                  <c:v>19.059605316149817</c:v>
                </c:pt>
                <c:pt idx="8">
                  <c:v>18.212669683257918</c:v>
                </c:pt>
                <c:pt idx="9">
                  <c:v>17.467210209145691</c:v>
                </c:pt>
                <c:pt idx="10">
                  <c:v>16.80602006688963</c:v>
                </c:pt>
                <c:pt idx="11">
                  <c:v>16.215574548907881</c:v>
                </c:pt>
                <c:pt idx="12">
                  <c:v>15.685096153846153</c:v>
                </c:pt>
                <c:pt idx="13">
                  <c:v>15.205890763511579</c:v>
                </c:pt>
                <c:pt idx="14">
                  <c:v>14.770867430441898</c:v>
                </c:pt>
                <c:pt idx="15">
                  <c:v>14.374185136897001</c:v>
                </c:pt>
                <c:pt idx="16">
                  <c:v>14.010989010989009</c:v>
                </c:pt>
                <c:pt idx="17">
                  <c:v>13.677210639827461</c:v>
                </c:pt>
                <c:pt idx="18">
                  <c:v>13.369415016121604</c:v>
                </c:pt>
                <c:pt idx="19">
                  <c:v>13.084681888716469</c:v>
                </c:pt>
                <c:pt idx="20">
                  <c:v>12.820512820512819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0DA-4147-A3DA-7D23A8A3ACA1}"/>
            </c:ext>
          </c:extLst>
        </c:ser>
        <c:ser>
          <c:idx val="5"/>
          <c:order val="5"/>
          <c:tx>
            <c:v>water</c:v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Wellbore_Pressure!$J$11:$J$31</c:f>
              <c:numCache>
                <c:formatCode>0.00</c:formatCode>
                <c:ptCount val="21"/>
                <c:pt idx="0">
                  <c:v>24.153846153846153</c:v>
                </c:pt>
                <c:pt idx="1">
                  <c:v>22.348536419332881</c:v>
                </c:pt>
                <c:pt idx="2">
                  <c:v>20.915750915750916</c:v>
                </c:pt>
                <c:pt idx="3">
                  <c:v>19.750968456004426</c:v>
                </c:pt>
                <c:pt idx="4">
                  <c:v>18.785425101214575</c:v>
                </c:pt>
                <c:pt idx="5">
                  <c:v>17.972027972027973</c:v>
                </c:pt>
                <c:pt idx="6">
                  <c:v>17.277441659464131</c:v>
                </c:pt>
                <c:pt idx="7">
                  <c:v>16.677406363270237</c:v>
                </c:pt>
                <c:pt idx="8">
                  <c:v>16.153846153846153</c:v>
                </c:pt>
                <c:pt idx="9">
                  <c:v>15.693016660758596</c:v>
                </c:pt>
                <c:pt idx="10">
                  <c:v>15.284280936454849</c:v>
                </c:pt>
                <c:pt idx="11">
                  <c:v>14.919278252611583</c:v>
                </c:pt>
                <c:pt idx="12">
                  <c:v>14.591346153846153</c:v>
                </c:pt>
                <c:pt idx="13">
                  <c:v>14.295110094366599</c:v>
                </c:pt>
                <c:pt idx="14">
                  <c:v>14.026186579378068</c:v>
                </c:pt>
                <c:pt idx="15">
                  <c:v>13.780964797913951</c:v>
                </c:pt>
                <c:pt idx="16">
                  <c:v>13.556443556443556</c:v>
                </c:pt>
                <c:pt idx="17">
                  <c:v>13.350107836089144</c:v>
                </c:pt>
                <c:pt idx="18">
                  <c:v>13.159834177798249</c:v>
                </c:pt>
                <c:pt idx="19">
                  <c:v>12.983817335402348</c:v>
                </c:pt>
                <c:pt idx="20">
                  <c:v>12.820512820512819</c:v>
                </c:pt>
              </c:numCache>
            </c:numRef>
          </c:xVal>
          <c:yVal>
            <c:numRef>
              <c:f>Wellbore_Pressure!$A$11:$A$31</c:f>
              <c:numCache>
                <c:formatCode>General</c:formatCode>
                <c:ptCount val="2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0DA-4147-A3DA-7D23A8A3A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725936"/>
        <c:axId val="256706192"/>
      </c:scatterChart>
      <c:valAx>
        <c:axId val="256725936"/>
        <c:scaling>
          <c:orientation val="minMax"/>
          <c:min val="7"/>
        </c:scaling>
        <c:delete val="0"/>
        <c:axPos val="b"/>
        <c:numFmt formatCode="0" sourceLinked="0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6706192"/>
        <c:crosses val="max"/>
        <c:crossBetween val="midCat"/>
      </c:valAx>
      <c:valAx>
        <c:axId val="256706192"/>
        <c:scaling>
          <c:orientation val="maxMin"/>
          <c:min val="0"/>
        </c:scaling>
        <c:delete val="0"/>
        <c:axPos val="l"/>
        <c:numFmt formatCode="General" sourceLinked="1"/>
        <c:majorTickMark val="none"/>
        <c:minorTickMark val="none"/>
        <c:tickLblPos val="high"/>
        <c:spPr>
          <a:ln>
            <a:solidFill>
              <a:schemeClr val="tx1"/>
            </a:solidFill>
          </a:ln>
        </c:spPr>
        <c:crossAx val="256725936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1"/>
          <c:order val="0"/>
          <c:tx>
            <c:v>least_prin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'Least Principal'!$B$13:$B$43</c:f>
              <c:numCache>
                <c:formatCode>0</c:formatCode>
                <c:ptCount val="31"/>
                <c:pt idx="0">
                  <c:v>2200</c:v>
                </c:pt>
                <c:pt idx="1">
                  <c:v>2486</c:v>
                </c:pt>
                <c:pt idx="2">
                  <c:v>2772</c:v>
                </c:pt>
                <c:pt idx="3">
                  <c:v>3058</c:v>
                </c:pt>
                <c:pt idx="4">
                  <c:v>3344</c:v>
                </c:pt>
                <c:pt idx="5">
                  <c:v>3630</c:v>
                </c:pt>
                <c:pt idx="6">
                  <c:v>3916</c:v>
                </c:pt>
                <c:pt idx="7">
                  <c:v>4202</c:v>
                </c:pt>
                <c:pt idx="8">
                  <c:v>4488</c:v>
                </c:pt>
                <c:pt idx="9">
                  <c:v>4774</c:v>
                </c:pt>
                <c:pt idx="10">
                  <c:v>5060</c:v>
                </c:pt>
                <c:pt idx="11">
                  <c:v>5346</c:v>
                </c:pt>
                <c:pt idx="12">
                  <c:v>5632</c:v>
                </c:pt>
                <c:pt idx="13">
                  <c:v>5918</c:v>
                </c:pt>
                <c:pt idx="14">
                  <c:v>6204</c:v>
                </c:pt>
                <c:pt idx="15">
                  <c:v>6490</c:v>
                </c:pt>
                <c:pt idx="16">
                  <c:v>6776</c:v>
                </c:pt>
                <c:pt idx="17">
                  <c:v>7062</c:v>
                </c:pt>
                <c:pt idx="18">
                  <c:v>7348</c:v>
                </c:pt>
                <c:pt idx="19">
                  <c:v>7634</c:v>
                </c:pt>
                <c:pt idx="20">
                  <c:v>7920</c:v>
                </c:pt>
                <c:pt idx="21">
                  <c:v>8008</c:v>
                </c:pt>
                <c:pt idx="22">
                  <c:v>8096</c:v>
                </c:pt>
                <c:pt idx="23">
                  <c:v>8184</c:v>
                </c:pt>
                <c:pt idx="24">
                  <c:v>8272</c:v>
                </c:pt>
                <c:pt idx="25">
                  <c:v>8360</c:v>
                </c:pt>
                <c:pt idx="26">
                  <c:v>8448</c:v>
                </c:pt>
                <c:pt idx="27">
                  <c:v>8536</c:v>
                </c:pt>
                <c:pt idx="28">
                  <c:v>8624</c:v>
                </c:pt>
                <c:pt idx="29">
                  <c:v>8712</c:v>
                </c:pt>
                <c:pt idx="30">
                  <c:v>8800</c:v>
                </c:pt>
              </c:numCache>
            </c:numRef>
          </c:xVal>
          <c:yVal>
            <c:numRef>
              <c:f>'Least Principal'!$A$13:$A$43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DC-4D22-B908-762468C561F1}"/>
            </c:ext>
          </c:extLst>
        </c:ser>
        <c:ser>
          <c:idx val="4"/>
          <c:order val="1"/>
          <c:tx>
            <c:v>least_prin_res</c:v>
          </c:tx>
          <c:spPr>
            <a:ln>
              <a:noFill/>
            </a:ln>
          </c:spPr>
          <c:marker>
            <c:symbol val="triang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'Least Principal'!$B$8</c:f>
              <c:numCache>
                <c:formatCode>General</c:formatCode>
                <c:ptCount val="1"/>
                <c:pt idx="0">
                  <c:v>12000</c:v>
                </c:pt>
              </c:numCache>
            </c:numRef>
          </c:xVal>
          <c:yVal>
            <c:numRef>
              <c:f>'Least Principal'!$A$8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DC-4D22-B908-762468C561F1}"/>
            </c:ext>
          </c:extLst>
        </c:ser>
        <c:ser>
          <c:idx val="2"/>
          <c:order val="2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Hydro_Litho_Pp!$D$32:$D$62</c:f>
              <c:numCache>
                <c:formatCode>0</c:formatCode>
                <c:ptCount val="31"/>
                <c:pt idx="0" formatCode="General">
                  <c:v>2200</c:v>
                </c:pt>
                <c:pt idx="1">
                  <c:v>2830.5</c:v>
                </c:pt>
                <c:pt idx="2">
                  <c:v>3461</c:v>
                </c:pt>
                <c:pt idx="3">
                  <c:v>4091.5</c:v>
                </c:pt>
                <c:pt idx="4">
                  <c:v>4722</c:v>
                </c:pt>
                <c:pt idx="5">
                  <c:v>5352.5</c:v>
                </c:pt>
                <c:pt idx="6">
                  <c:v>5983</c:v>
                </c:pt>
                <c:pt idx="7">
                  <c:v>6613.5</c:v>
                </c:pt>
                <c:pt idx="8">
                  <c:v>7244</c:v>
                </c:pt>
                <c:pt idx="9">
                  <c:v>7874.5</c:v>
                </c:pt>
                <c:pt idx="10">
                  <c:v>8505</c:v>
                </c:pt>
                <c:pt idx="11">
                  <c:v>9135.5</c:v>
                </c:pt>
                <c:pt idx="12">
                  <c:v>9766</c:v>
                </c:pt>
                <c:pt idx="13">
                  <c:v>10396.5</c:v>
                </c:pt>
                <c:pt idx="14">
                  <c:v>11027</c:v>
                </c:pt>
                <c:pt idx="15">
                  <c:v>11657.5</c:v>
                </c:pt>
                <c:pt idx="16">
                  <c:v>12288</c:v>
                </c:pt>
                <c:pt idx="17">
                  <c:v>12918.5</c:v>
                </c:pt>
                <c:pt idx="18">
                  <c:v>13549</c:v>
                </c:pt>
                <c:pt idx="19">
                  <c:v>14179.5</c:v>
                </c:pt>
                <c:pt idx="20">
                  <c:v>14810</c:v>
                </c:pt>
                <c:pt idx="21">
                  <c:v>15004</c:v>
                </c:pt>
                <c:pt idx="22">
                  <c:v>15198</c:v>
                </c:pt>
                <c:pt idx="23">
                  <c:v>15392</c:v>
                </c:pt>
                <c:pt idx="24">
                  <c:v>15586</c:v>
                </c:pt>
                <c:pt idx="25">
                  <c:v>15780</c:v>
                </c:pt>
                <c:pt idx="26">
                  <c:v>15974</c:v>
                </c:pt>
                <c:pt idx="27">
                  <c:v>16168</c:v>
                </c:pt>
                <c:pt idx="28">
                  <c:v>16362</c:v>
                </c:pt>
                <c:pt idx="29">
                  <c:v>16556</c:v>
                </c:pt>
                <c:pt idx="30">
                  <c:v>16750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DC-4D22-B908-762468C561F1}"/>
            </c:ext>
          </c:extLst>
        </c:ser>
        <c:ser>
          <c:idx val="0"/>
          <c:order val="3"/>
          <c:tx>
            <c:v>Hydrostatic Pressure</c:v>
          </c:tx>
          <c:spPr>
            <a:ln w="31750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ymbol val="none"/>
          </c:marker>
          <c:xVal>
            <c:numRef>
              <c:f>Hydro_Litho_Pp!$B$22:$B$62</c:f>
              <c:numCache>
                <c:formatCode>General</c:formatCode>
                <c:ptCount val="41"/>
                <c:pt idx="0">
                  <c:v>0</c:v>
                </c:pt>
                <c:pt idx="1">
                  <c:v>220</c:v>
                </c:pt>
                <c:pt idx="2">
                  <c:v>440</c:v>
                </c:pt>
                <c:pt idx="3">
                  <c:v>660</c:v>
                </c:pt>
                <c:pt idx="4">
                  <c:v>880</c:v>
                </c:pt>
                <c:pt idx="5">
                  <c:v>1100</c:v>
                </c:pt>
                <c:pt idx="6">
                  <c:v>1320</c:v>
                </c:pt>
                <c:pt idx="7">
                  <c:v>1540</c:v>
                </c:pt>
                <c:pt idx="8">
                  <c:v>1760</c:v>
                </c:pt>
                <c:pt idx="9">
                  <c:v>1980</c:v>
                </c:pt>
                <c:pt idx="10">
                  <c:v>2200</c:v>
                </c:pt>
                <c:pt idx="11">
                  <c:v>2486</c:v>
                </c:pt>
                <c:pt idx="12">
                  <c:v>2772</c:v>
                </c:pt>
                <c:pt idx="13">
                  <c:v>3058</c:v>
                </c:pt>
                <c:pt idx="14">
                  <c:v>3344</c:v>
                </c:pt>
                <c:pt idx="15">
                  <c:v>3630</c:v>
                </c:pt>
                <c:pt idx="16">
                  <c:v>3916</c:v>
                </c:pt>
                <c:pt idx="17">
                  <c:v>4202</c:v>
                </c:pt>
                <c:pt idx="18">
                  <c:v>4488</c:v>
                </c:pt>
                <c:pt idx="19">
                  <c:v>4774</c:v>
                </c:pt>
                <c:pt idx="20">
                  <c:v>5060</c:v>
                </c:pt>
                <c:pt idx="21">
                  <c:v>5346</c:v>
                </c:pt>
                <c:pt idx="22">
                  <c:v>5632</c:v>
                </c:pt>
                <c:pt idx="23">
                  <c:v>5918</c:v>
                </c:pt>
                <c:pt idx="24">
                  <c:v>6204</c:v>
                </c:pt>
                <c:pt idx="25">
                  <c:v>6490</c:v>
                </c:pt>
                <c:pt idx="26">
                  <c:v>6776</c:v>
                </c:pt>
                <c:pt idx="27">
                  <c:v>7062</c:v>
                </c:pt>
                <c:pt idx="28">
                  <c:v>7348</c:v>
                </c:pt>
                <c:pt idx="29">
                  <c:v>7634</c:v>
                </c:pt>
                <c:pt idx="30">
                  <c:v>7920</c:v>
                </c:pt>
                <c:pt idx="31">
                  <c:v>8008</c:v>
                </c:pt>
                <c:pt idx="32">
                  <c:v>8096</c:v>
                </c:pt>
                <c:pt idx="33">
                  <c:v>8184</c:v>
                </c:pt>
                <c:pt idx="34">
                  <c:v>8272</c:v>
                </c:pt>
                <c:pt idx="35">
                  <c:v>8360</c:v>
                </c:pt>
                <c:pt idx="36">
                  <c:v>8448</c:v>
                </c:pt>
                <c:pt idx="37">
                  <c:v>8536</c:v>
                </c:pt>
                <c:pt idx="38">
                  <c:v>8624</c:v>
                </c:pt>
                <c:pt idx="39">
                  <c:v>8712</c:v>
                </c:pt>
                <c:pt idx="40">
                  <c:v>8800</c:v>
                </c:pt>
              </c:numCache>
            </c:numRef>
          </c:xVal>
          <c:yVal>
            <c:numRef>
              <c:f>Hydro_Litho_Pp!$A$22:$A$62</c:f>
              <c:numCache>
                <c:formatCode>General</c:formatCode>
                <c:ptCount val="41"/>
                <c:pt idx="0">
                  <c:v>0</c:v>
                </c:pt>
                <c:pt idx="1">
                  <c:v>500</c:v>
                </c:pt>
                <c:pt idx="2">
                  <c:v>1000</c:v>
                </c:pt>
                <c:pt idx="3">
                  <c:v>1500</c:v>
                </c:pt>
                <c:pt idx="4">
                  <c:v>2000</c:v>
                </c:pt>
                <c:pt idx="5">
                  <c:v>2500</c:v>
                </c:pt>
                <c:pt idx="6">
                  <c:v>3000</c:v>
                </c:pt>
                <c:pt idx="7">
                  <c:v>3500</c:v>
                </c:pt>
                <c:pt idx="8">
                  <c:v>4000</c:v>
                </c:pt>
                <c:pt idx="9">
                  <c:v>4500</c:v>
                </c:pt>
                <c:pt idx="10">
                  <c:v>5000</c:v>
                </c:pt>
                <c:pt idx="11">
                  <c:v>5650</c:v>
                </c:pt>
                <c:pt idx="12">
                  <c:v>6300</c:v>
                </c:pt>
                <c:pt idx="13">
                  <c:v>6950</c:v>
                </c:pt>
                <c:pt idx="14">
                  <c:v>7600</c:v>
                </c:pt>
                <c:pt idx="15">
                  <c:v>8250</c:v>
                </c:pt>
                <c:pt idx="16">
                  <c:v>8900</c:v>
                </c:pt>
                <c:pt idx="17">
                  <c:v>9550</c:v>
                </c:pt>
                <c:pt idx="18">
                  <c:v>10200</c:v>
                </c:pt>
                <c:pt idx="19">
                  <c:v>10850</c:v>
                </c:pt>
                <c:pt idx="20">
                  <c:v>11500</c:v>
                </c:pt>
                <c:pt idx="21">
                  <c:v>12150</c:v>
                </c:pt>
                <c:pt idx="22">
                  <c:v>12800</c:v>
                </c:pt>
                <c:pt idx="23">
                  <c:v>13450</c:v>
                </c:pt>
                <c:pt idx="24">
                  <c:v>14100</c:v>
                </c:pt>
                <c:pt idx="25">
                  <c:v>14750</c:v>
                </c:pt>
                <c:pt idx="26">
                  <c:v>15400</c:v>
                </c:pt>
                <c:pt idx="27">
                  <c:v>16050</c:v>
                </c:pt>
                <c:pt idx="28">
                  <c:v>16700</c:v>
                </c:pt>
                <c:pt idx="29">
                  <c:v>17350</c:v>
                </c:pt>
                <c:pt idx="30">
                  <c:v>18000</c:v>
                </c:pt>
                <c:pt idx="31">
                  <c:v>18200</c:v>
                </c:pt>
                <c:pt idx="32">
                  <c:v>18400</c:v>
                </c:pt>
                <c:pt idx="33">
                  <c:v>18600</c:v>
                </c:pt>
                <c:pt idx="34">
                  <c:v>18800</c:v>
                </c:pt>
                <c:pt idx="35">
                  <c:v>19000</c:v>
                </c:pt>
                <c:pt idx="36">
                  <c:v>19200</c:v>
                </c:pt>
                <c:pt idx="37">
                  <c:v>19400</c:v>
                </c:pt>
                <c:pt idx="38">
                  <c:v>19600</c:v>
                </c:pt>
                <c:pt idx="39">
                  <c:v>19800</c:v>
                </c:pt>
                <c:pt idx="4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DC-4D22-B908-762468C561F1}"/>
            </c:ext>
          </c:extLst>
        </c:ser>
        <c:ser>
          <c:idx val="3"/>
          <c:order val="4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Hydro_Litho_Pp!$E$8</c:f>
              <c:numCache>
                <c:formatCode>General</c:formatCode>
                <c:ptCount val="1"/>
                <c:pt idx="0">
                  <c:v>12000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3DC-4D22-B908-762468C56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866672"/>
        <c:axId val="256867232"/>
      </c:scatterChart>
      <c:valAx>
        <c:axId val="256866672"/>
        <c:scaling>
          <c:orientation val="minMax"/>
          <c:min val="0"/>
        </c:scaling>
        <c:delete val="0"/>
        <c:axPos val="b"/>
        <c:numFmt formatCode="0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6867232"/>
        <c:crosses val="max"/>
        <c:crossBetween val="midCat"/>
      </c:valAx>
      <c:valAx>
        <c:axId val="256867232"/>
        <c:scaling>
          <c:orientation val="maxMin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6866672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5614940147"/>
          <c:y val="0.107246831876077"/>
          <c:w val="0.71020020863998201"/>
          <c:h val="0.75803759127265502"/>
        </c:manualLayout>
      </c:layout>
      <c:scatterChart>
        <c:scatterStyle val="smoothMarker"/>
        <c:varyColors val="0"/>
        <c:ser>
          <c:idx val="0"/>
          <c:order val="0"/>
          <c:tx>
            <c:v>least_prin</c:v>
          </c:tx>
          <c:spPr>
            <a:ln w="317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'Least Principal'!$C$13:$C$43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xVal>
          <c:yVal>
            <c:numRef>
              <c:f>'Least Principal'!$A$13:$A$43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894-49D0-B91F-23C69BC0B2A4}"/>
            </c:ext>
          </c:extLst>
        </c:ser>
        <c:ser>
          <c:idx val="1"/>
          <c:order val="1"/>
          <c:tx>
            <c:v>least_prin_res</c:v>
          </c:tx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'Least Principal'!$C$8</c:f>
              <c:numCache>
                <c:formatCode>0</c:formatCode>
                <c:ptCount val="1"/>
                <c:pt idx="0">
                  <c:v>4080</c:v>
                </c:pt>
              </c:numCache>
            </c:numRef>
          </c:xVal>
          <c:yVal>
            <c:numRef>
              <c:f>'Least Principal'!$A$8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894-49D0-B91F-23C69BC0B2A4}"/>
            </c:ext>
          </c:extLst>
        </c:ser>
        <c:ser>
          <c:idx val="2"/>
          <c:order val="2"/>
          <c:tx>
            <c:v>Lithostatic Stress</c:v>
          </c:tx>
          <c:spPr>
            <a:ln w="31750"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xVal>
            <c:numRef>
              <c:f>Hydro_Litho_Pp!$F$32:$F$62</c:f>
              <c:numCache>
                <c:formatCode>0</c:formatCode>
                <c:ptCount val="31"/>
                <c:pt idx="0">
                  <c:v>0</c:v>
                </c:pt>
                <c:pt idx="1">
                  <c:v>344.5</c:v>
                </c:pt>
                <c:pt idx="2">
                  <c:v>689</c:v>
                </c:pt>
                <c:pt idx="3">
                  <c:v>1033.5</c:v>
                </c:pt>
                <c:pt idx="4">
                  <c:v>1378</c:v>
                </c:pt>
                <c:pt idx="5">
                  <c:v>1722.5</c:v>
                </c:pt>
                <c:pt idx="6">
                  <c:v>2067</c:v>
                </c:pt>
                <c:pt idx="7">
                  <c:v>2411.5</c:v>
                </c:pt>
                <c:pt idx="8">
                  <c:v>2756</c:v>
                </c:pt>
                <c:pt idx="9">
                  <c:v>3100.5</c:v>
                </c:pt>
                <c:pt idx="10">
                  <c:v>3445</c:v>
                </c:pt>
                <c:pt idx="11">
                  <c:v>3789.5</c:v>
                </c:pt>
                <c:pt idx="12">
                  <c:v>4134</c:v>
                </c:pt>
                <c:pt idx="13">
                  <c:v>4478.5</c:v>
                </c:pt>
                <c:pt idx="14">
                  <c:v>4823</c:v>
                </c:pt>
                <c:pt idx="15">
                  <c:v>5167.5</c:v>
                </c:pt>
                <c:pt idx="16">
                  <c:v>5512</c:v>
                </c:pt>
                <c:pt idx="17">
                  <c:v>5856.5</c:v>
                </c:pt>
                <c:pt idx="18">
                  <c:v>6201</c:v>
                </c:pt>
                <c:pt idx="19">
                  <c:v>6545.5</c:v>
                </c:pt>
                <c:pt idx="20">
                  <c:v>6890</c:v>
                </c:pt>
                <c:pt idx="21">
                  <c:v>6996</c:v>
                </c:pt>
                <c:pt idx="22">
                  <c:v>7102</c:v>
                </c:pt>
                <c:pt idx="23">
                  <c:v>7208</c:v>
                </c:pt>
                <c:pt idx="24">
                  <c:v>7314</c:v>
                </c:pt>
                <c:pt idx="25">
                  <c:v>7420</c:v>
                </c:pt>
                <c:pt idx="26">
                  <c:v>7526</c:v>
                </c:pt>
                <c:pt idx="27">
                  <c:v>7632</c:v>
                </c:pt>
                <c:pt idx="28">
                  <c:v>7738</c:v>
                </c:pt>
                <c:pt idx="29">
                  <c:v>7844</c:v>
                </c:pt>
                <c:pt idx="30">
                  <c:v>7950</c:v>
                </c:pt>
              </c:numCache>
            </c:numRef>
          </c:xVal>
          <c:yVal>
            <c:numRef>
              <c:f>Hydro_Litho_Pp!$A$32:$A$62</c:f>
              <c:numCache>
                <c:formatCode>General</c:formatCode>
                <c:ptCount val="31"/>
                <c:pt idx="0">
                  <c:v>5000</c:v>
                </c:pt>
                <c:pt idx="1">
                  <c:v>5650</c:v>
                </c:pt>
                <c:pt idx="2">
                  <c:v>6300</c:v>
                </c:pt>
                <c:pt idx="3">
                  <c:v>6950</c:v>
                </c:pt>
                <c:pt idx="4">
                  <c:v>7600</c:v>
                </c:pt>
                <c:pt idx="5">
                  <c:v>8250</c:v>
                </c:pt>
                <c:pt idx="6">
                  <c:v>8900</c:v>
                </c:pt>
                <c:pt idx="7">
                  <c:v>9550</c:v>
                </c:pt>
                <c:pt idx="8">
                  <c:v>10200</c:v>
                </c:pt>
                <c:pt idx="9">
                  <c:v>10850</c:v>
                </c:pt>
                <c:pt idx="10">
                  <c:v>11500</c:v>
                </c:pt>
                <c:pt idx="11">
                  <c:v>12150</c:v>
                </c:pt>
                <c:pt idx="12">
                  <c:v>12800</c:v>
                </c:pt>
                <c:pt idx="13">
                  <c:v>13450</c:v>
                </c:pt>
                <c:pt idx="14">
                  <c:v>14100</c:v>
                </c:pt>
                <c:pt idx="15">
                  <c:v>14750</c:v>
                </c:pt>
                <c:pt idx="16">
                  <c:v>15400</c:v>
                </c:pt>
                <c:pt idx="17">
                  <c:v>16050</c:v>
                </c:pt>
                <c:pt idx="18">
                  <c:v>16700</c:v>
                </c:pt>
                <c:pt idx="19">
                  <c:v>17350</c:v>
                </c:pt>
                <c:pt idx="20">
                  <c:v>18000</c:v>
                </c:pt>
                <c:pt idx="21">
                  <c:v>18200</c:v>
                </c:pt>
                <c:pt idx="22">
                  <c:v>18400</c:v>
                </c:pt>
                <c:pt idx="23">
                  <c:v>18600</c:v>
                </c:pt>
                <c:pt idx="24">
                  <c:v>18800</c:v>
                </c:pt>
                <c:pt idx="25">
                  <c:v>19000</c:v>
                </c:pt>
                <c:pt idx="26">
                  <c:v>19200</c:v>
                </c:pt>
                <c:pt idx="27">
                  <c:v>19400</c:v>
                </c:pt>
                <c:pt idx="28">
                  <c:v>19600</c:v>
                </c:pt>
                <c:pt idx="29">
                  <c:v>19800</c:v>
                </c:pt>
                <c:pt idx="30">
                  <c:v>20000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94-49D0-B91F-23C69BC0B2A4}"/>
            </c:ext>
          </c:extLst>
        </c:ser>
        <c:ser>
          <c:idx val="3"/>
          <c:order val="3"/>
          <c:tx>
            <c:v>Reservoir Pressure</c:v>
          </c:tx>
          <c:spPr>
            <a:ln w="47625">
              <a:noFill/>
            </a:ln>
          </c:spPr>
          <c:marker>
            <c:symbol val="diamond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</c:spPr>
          </c:marker>
          <c:xVal>
            <c:numRef>
              <c:f>Hydro_Litho_Pp!$E$9</c:f>
              <c:numCache>
                <c:formatCode>General</c:formatCode>
                <c:ptCount val="1"/>
                <c:pt idx="0">
                  <c:v>4080</c:v>
                </c:pt>
              </c:numCache>
            </c:numRef>
          </c:xVal>
          <c:yVal>
            <c:numRef>
              <c:f>Hydro_Litho_Pp!$B$9</c:f>
              <c:numCache>
                <c:formatCode>General</c:formatCode>
                <c:ptCount val="1"/>
                <c:pt idx="0">
                  <c:v>18000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894-49D0-B91F-23C69BC0B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775760"/>
        <c:axId val="251776320"/>
      </c:scatterChart>
      <c:valAx>
        <c:axId val="251775760"/>
        <c:scaling>
          <c:orientation val="minMax"/>
          <c:min val="0"/>
        </c:scaling>
        <c:delete val="0"/>
        <c:axPos val="b"/>
        <c:numFmt formatCode="0" sourceLinked="1"/>
        <c:majorTickMark val="out"/>
        <c:minorTickMark val="none"/>
        <c:tickLblPos val="high"/>
        <c:spPr>
          <a:ln>
            <a:solidFill>
              <a:schemeClr val="tx1"/>
            </a:solidFill>
          </a:ln>
        </c:spPr>
        <c:crossAx val="251776320"/>
        <c:crosses val="max"/>
        <c:crossBetween val="midCat"/>
      </c:valAx>
      <c:valAx>
        <c:axId val="251776320"/>
        <c:scaling>
          <c:orientation val="maxMin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251775760"/>
        <c:crosses val="autoZero"/>
        <c:crossBetween val="midCat"/>
      </c:valAx>
      <c:spPr>
        <a:ln w="190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12" Type="http://schemas.openxmlformats.org/officeDocument/2006/relationships/chart" Target="../charts/chart22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chart" Target="../charts/chart21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90550" y="25387298"/>
    <xdr:ext cx="7181850" cy="6672248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0</xdr:colOff>
      <xdr:row>0</xdr:row>
      <xdr:rowOff>152400</xdr:rowOff>
    </xdr:from>
    <xdr:to>
      <xdr:col>10</xdr:col>
      <xdr:colOff>365760</xdr:colOff>
      <xdr:row>0</xdr:row>
      <xdr:rowOff>152400</xdr:rowOff>
    </xdr:to>
    <xdr:cxnSp macro="">
      <xdr:nvCxnSpPr>
        <xdr:cNvPr id="61" name="Straight Connector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CxnSpPr/>
      </xdr:nvCxnSpPr>
      <xdr:spPr>
        <a:xfrm>
          <a:off x="8982075" y="152400"/>
          <a:ext cx="365760" cy="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</xdr:row>
      <xdr:rowOff>133350</xdr:rowOff>
    </xdr:from>
    <xdr:to>
      <xdr:col>10</xdr:col>
      <xdr:colOff>365760</xdr:colOff>
      <xdr:row>1</xdr:row>
      <xdr:rowOff>133350</xdr:rowOff>
    </xdr:to>
    <xdr:cxnSp macro="">
      <xdr:nvCxnSpPr>
        <xdr:cNvPr id="62" name="Straight Connector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8982075" y="371475"/>
          <a:ext cx="365760" cy="0"/>
        </a:xfrm>
        <a:prstGeom prst="line">
          <a:avLst/>
        </a:prstGeom>
        <a:ln w="444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304800</xdr:colOff>
      <xdr:row>1</xdr:row>
      <xdr:rowOff>57151</xdr:rowOff>
    </xdr:from>
    <xdr:to>
      <xdr:col>13</xdr:col>
      <xdr:colOff>451142</xdr:colOff>
      <xdr:row>2</xdr:row>
      <xdr:rowOff>12993</xdr:rowOff>
    </xdr:to>
    <xdr:sp macro="" textlink="">
      <xdr:nvSpPr>
        <xdr:cNvPr id="67" name="Rectangl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 rot="2700000">
          <a:off x="10791825" y="295276"/>
          <a:ext cx="146342" cy="146342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433390</xdr:colOff>
      <xdr:row>5</xdr:row>
      <xdr:rowOff>47624</xdr:rowOff>
    </xdr:from>
    <xdr:to>
      <xdr:col>28</xdr:col>
      <xdr:colOff>176215</xdr:colOff>
      <xdr:row>20</xdr:row>
      <xdr:rowOff>142873</xdr:rowOff>
    </xdr:to>
    <xdr:sp macro="" textlink="$AB$31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 rot="5400000">
          <a:off x="17830803" y="2405061"/>
          <a:ext cx="3047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FA35347-9304-451C-9B8E-BF526D3C20C7}" type="TxLink">
            <a:rPr lang="en-US" sz="1400" b="1"/>
            <a:pPr algn="ctr"/>
            <a:t>Depth Subsea (feet)</a:t>
          </a:fld>
          <a:endParaRPr lang="en-US" sz="1400" b="1"/>
        </a:p>
      </xdr:txBody>
    </xdr:sp>
    <xdr:clientData/>
  </xdr:twoCellAnchor>
  <xdr:absoluteAnchor>
    <xdr:pos x="9896475" y="619125"/>
    <xdr:ext cx="5248275" cy="4019550"/>
    <xdr:graphicFrame macro="">
      <xdr:nvGraphicFramePr>
        <xdr:cNvPr id="75" name="Chart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13</xdr:col>
      <xdr:colOff>333375</xdr:colOff>
      <xdr:row>3</xdr:row>
      <xdr:rowOff>104775</xdr:rowOff>
    </xdr:from>
    <xdr:to>
      <xdr:col>19</xdr:col>
      <xdr:colOff>523875</xdr:colOff>
      <xdr:row>5</xdr:row>
      <xdr:rowOff>57150</xdr:rowOff>
    </xdr:to>
    <xdr:sp macro="" textlink="$AB$32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820400" y="723900"/>
          <a:ext cx="37338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098AA6B-D1AC-49F6-8098-11F430F8F85E}" type="TxLink">
            <a:rPr lang="en-US" sz="1400" b="1"/>
            <a:pPr algn="ctr"/>
            <a:t>Overpressure (psi)</a:t>
          </a:fld>
          <a:endParaRPr lang="en-US" sz="1400" b="1"/>
        </a:p>
      </xdr:txBody>
    </xdr:sp>
    <xdr:clientData/>
  </xdr:twoCellAnchor>
  <xdr:absoluteAnchor>
    <xdr:pos x="14030325" y="619125"/>
    <xdr:ext cx="5248275" cy="4019550"/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twoCellAnchor>
    <xdr:from>
      <xdr:col>20</xdr:col>
      <xdr:colOff>333376</xdr:colOff>
      <xdr:row>3</xdr:row>
      <xdr:rowOff>104775</xdr:rowOff>
    </xdr:from>
    <xdr:to>
      <xdr:col>26</xdr:col>
      <xdr:colOff>504826</xdr:colOff>
      <xdr:row>5</xdr:row>
      <xdr:rowOff>57150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4954251" y="723900"/>
          <a:ext cx="3714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Mudweight</a:t>
          </a:r>
          <a:r>
            <a:rPr lang="en-US" sz="1600" b="1" baseline="0"/>
            <a:t> (PPG)</a:t>
          </a:r>
          <a:endParaRPr lang="en-US" sz="1600" b="1"/>
        </a:p>
      </xdr:txBody>
    </xdr:sp>
    <xdr:clientData/>
  </xdr:twoCellAnchor>
  <xdr:twoCellAnchor>
    <xdr:from>
      <xdr:col>7</xdr:col>
      <xdr:colOff>0</xdr:colOff>
      <xdr:row>3</xdr:row>
      <xdr:rowOff>95250</xdr:rowOff>
    </xdr:from>
    <xdr:to>
      <xdr:col>12</xdr:col>
      <xdr:colOff>419100</xdr:colOff>
      <xdr:row>5</xdr:row>
      <xdr:rowOff>47625</xdr:rowOff>
    </xdr:to>
    <xdr:sp macro="" textlink="$AB$30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6581775" y="714375"/>
          <a:ext cx="37338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E5CEDA7E-1196-420C-BBE1-7F55638D98AC}" type="TxLink">
            <a:rPr lang="en-US" sz="1400" b="1"/>
            <a:pPr algn="ctr"/>
            <a:t>Pressure/Stress (psi)</a:t>
          </a:fld>
          <a:endParaRPr lang="en-US" sz="1400" b="1"/>
        </a:p>
      </xdr:txBody>
    </xdr:sp>
    <xdr:clientData/>
  </xdr:twoCellAnchor>
  <xdr:twoCellAnchor>
    <xdr:from>
      <xdr:col>6</xdr:col>
      <xdr:colOff>66675</xdr:colOff>
      <xdr:row>5</xdr:row>
      <xdr:rowOff>47625</xdr:rowOff>
    </xdr:from>
    <xdr:to>
      <xdr:col>6</xdr:col>
      <xdr:colOff>400050</xdr:colOff>
      <xdr:row>20</xdr:row>
      <xdr:rowOff>142874</xdr:rowOff>
    </xdr:to>
    <xdr:sp macro="" textlink="$AB$31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 rot="16200000">
          <a:off x="4367213" y="2405062"/>
          <a:ext cx="3047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FA35347-9304-451C-9B8E-BF526D3C20C7}" type="TxLink">
            <a:rPr lang="en-US" sz="1400" b="1"/>
            <a:pPr algn="ctr"/>
            <a:t>Depth Subsea (feet)</a:t>
          </a:fld>
          <a:endParaRPr lang="en-US" sz="1400" b="1"/>
        </a:p>
      </xdr:txBody>
    </xdr:sp>
    <xdr:clientData/>
  </xdr:twoCellAnchor>
  <xdr:absoluteAnchor>
    <xdr:pos x="5657850" y="619125"/>
    <xdr:ext cx="5248275" cy="4019550"/>
    <xdr:graphicFrame macro="">
      <xdr:nvGraphicFramePr>
        <xdr:cNvPr id="86" name="Chart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twoCellAnchor>
    <xdr:from>
      <xdr:col>7</xdr:col>
      <xdr:colOff>0</xdr:colOff>
      <xdr:row>24</xdr:row>
      <xdr:rowOff>66675</xdr:rowOff>
    </xdr:from>
    <xdr:to>
      <xdr:col>9</xdr:col>
      <xdr:colOff>468630</xdr:colOff>
      <xdr:row>24</xdr:row>
      <xdr:rowOff>66675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6581775" y="4781550"/>
          <a:ext cx="2011680" cy="0"/>
        </a:xfrm>
        <a:prstGeom prst="line">
          <a:avLst/>
        </a:prstGeom>
        <a:ln w="4445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152400</xdr:rowOff>
    </xdr:from>
    <xdr:to>
      <xdr:col>14</xdr:col>
      <xdr:colOff>365760</xdr:colOff>
      <xdr:row>0</xdr:row>
      <xdr:rowOff>152400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8982075" y="152400"/>
          <a:ext cx="365760" cy="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</xdr:row>
      <xdr:rowOff>133350</xdr:rowOff>
    </xdr:from>
    <xdr:to>
      <xdr:col>14</xdr:col>
      <xdr:colOff>365760</xdr:colOff>
      <xdr:row>1</xdr:row>
      <xdr:rowOff>133350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982075" y="371475"/>
          <a:ext cx="365760" cy="0"/>
        </a:xfrm>
        <a:prstGeom prst="line">
          <a:avLst/>
        </a:prstGeom>
        <a:ln w="444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2</xdr:row>
      <xdr:rowOff>95250</xdr:rowOff>
    </xdr:from>
    <xdr:to>
      <xdr:col>14</xdr:col>
      <xdr:colOff>365760</xdr:colOff>
      <xdr:row>2</xdr:row>
      <xdr:rowOff>95250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6010275" y="523875"/>
          <a:ext cx="365760" cy="0"/>
        </a:xfrm>
        <a:prstGeom prst="line">
          <a:avLst/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209550</xdr:colOff>
      <xdr:row>0</xdr:row>
      <xdr:rowOff>104775</xdr:rowOff>
    </xdr:from>
    <xdr:to>
      <xdr:col>18</xdr:col>
      <xdr:colOff>355892</xdr:colOff>
      <xdr:row>1</xdr:row>
      <xdr:rowOff>12992</xdr:rowOff>
    </xdr:to>
    <xdr:sp macro="" textlink="">
      <xdr:nvSpPr>
        <xdr:cNvPr id="36" name="Rectangl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 rot="2700000">
          <a:off x="11544300" y="104775"/>
          <a:ext cx="146342" cy="146342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absoluteAnchor>
    <xdr:pos x="6581775" y="857250"/>
    <xdr:ext cx="5248275" cy="4019550"/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10</xdr:col>
      <xdr:colOff>114300</xdr:colOff>
      <xdr:row>6</xdr:row>
      <xdr:rowOff>47625</xdr:rowOff>
    </xdr:from>
    <xdr:to>
      <xdr:col>10</xdr:col>
      <xdr:colOff>447675</xdr:colOff>
      <xdr:row>22</xdr:row>
      <xdr:rowOff>47624</xdr:rowOff>
    </xdr:to>
    <xdr:sp macro="" textlink="Hydro_Litho_Pp!$AB$31">
      <xdr:nvSpPr>
        <xdr:cNvPr id="38" name="TextBox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 rot="16200000">
          <a:off x="5338763" y="2643187"/>
          <a:ext cx="3047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99E86AD-334D-456F-9AD3-5BD82BFD8867}" type="TxLink">
            <a:rPr lang="en-US" sz="1400" b="1"/>
            <a:pPr algn="ctr"/>
            <a:t>Depth Subsea (feet)</a:t>
          </a:fld>
          <a:endParaRPr lang="en-US" sz="1400" b="1"/>
        </a:p>
      </xdr:txBody>
    </xdr:sp>
    <xdr:clientData/>
  </xdr:twoCellAnchor>
  <xdr:twoCellAnchor>
    <xdr:from>
      <xdr:col>11</xdr:col>
      <xdr:colOff>333375</xdr:colOff>
      <xdr:row>4</xdr:row>
      <xdr:rowOff>85725</xdr:rowOff>
    </xdr:from>
    <xdr:to>
      <xdr:col>17</xdr:col>
      <xdr:colOff>495300</xdr:colOff>
      <xdr:row>6</xdr:row>
      <xdr:rowOff>38100</xdr:rowOff>
    </xdr:to>
    <xdr:sp macro="" textlink="Hydro_Litho_Pp!$AB$30">
      <xdr:nvSpPr>
        <xdr:cNvPr id="39" name="TextBox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505700" y="942975"/>
          <a:ext cx="37338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7E6DB5E-EAAA-431B-A9C0-2A79A71BC3E1}" type="TxLink">
            <a:rPr lang="en-US" sz="1400" b="1"/>
            <a:pPr algn="ctr"/>
            <a:t>Pressure/Stress (psi)</a:t>
          </a:fld>
          <a:endParaRPr lang="en-US" sz="1400" b="1"/>
        </a:p>
      </xdr:txBody>
    </xdr:sp>
    <xdr:clientData/>
  </xdr:twoCellAnchor>
  <xdr:absoluteAnchor>
    <xdr:pos x="10744200" y="857250"/>
    <xdr:ext cx="5248275" cy="4019550"/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18</xdr:col>
      <xdr:colOff>333375</xdr:colOff>
      <xdr:row>4</xdr:row>
      <xdr:rowOff>104775</xdr:rowOff>
    </xdr:from>
    <xdr:to>
      <xdr:col>24</xdr:col>
      <xdr:colOff>523875</xdr:colOff>
      <xdr:row>6</xdr:row>
      <xdr:rowOff>57150</xdr:rowOff>
    </xdr:to>
    <xdr:sp macro="" textlink="Hydro_Litho_Pp!$AB$32">
      <xdr:nvSpPr>
        <xdr:cNvPr id="41" name="TextBox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1668125" y="962025"/>
          <a:ext cx="37338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EDCF25D-9E86-4732-BAC5-FD761B4CDE37}" type="TxLink">
            <a:rPr lang="en-US" sz="1400" b="1"/>
            <a:pPr algn="ctr"/>
            <a:t>Overpressure (psi)</a:t>
          </a:fld>
          <a:endParaRPr lang="en-US" sz="1400" b="1"/>
        </a:p>
      </xdr:txBody>
    </xdr:sp>
    <xdr:clientData/>
  </xdr:twoCellAnchor>
  <xdr:absoluteAnchor>
    <xdr:pos x="14878050" y="857250"/>
    <xdr:ext cx="5248275" cy="4019550"/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twoCellAnchor>
    <xdr:from>
      <xdr:col>25</xdr:col>
      <xdr:colOff>333376</xdr:colOff>
      <xdr:row>4</xdr:row>
      <xdr:rowOff>104775</xdr:rowOff>
    </xdr:from>
    <xdr:to>
      <xdr:col>31</xdr:col>
      <xdr:colOff>504826</xdr:colOff>
      <xdr:row>6</xdr:row>
      <xdr:rowOff>57150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5801976" y="962025"/>
          <a:ext cx="3714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Mudweight</a:t>
          </a:r>
          <a:r>
            <a:rPr lang="en-US" sz="1600" b="1" baseline="0"/>
            <a:t> (PPG)</a:t>
          </a:r>
          <a:endParaRPr lang="en-US" sz="1600" b="1"/>
        </a:p>
      </xdr:txBody>
    </xdr:sp>
    <xdr:clientData/>
  </xdr:twoCellAnchor>
  <xdr:twoCellAnchor>
    <xdr:from>
      <xdr:col>32</xdr:col>
      <xdr:colOff>428625</xdr:colOff>
      <xdr:row>6</xdr:row>
      <xdr:rowOff>47625</xdr:rowOff>
    </xdr:from>
    <xdr:to>
      <xdr:col>33</xdr:col>
      <xdr:colOff>171450</xdr:colOff>
      <xdr:row>22</xdr:row>
      <xdr:rowOff>47624</xdr:rowOff>
    </xdr:to>
    <xdr:sp macro="" textlink="Hydro_Litho_Pp!$AB$31">
      <xdr:nvSpPr>
        <xdr:cNvPr id="44" name="TextBox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 rot="5400000">
          <a:off x="18673763" y="2643187"/>
          <a:ext cx="3047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99E86AD-334D-456F-9AD3-5BD82BFD8867}" type="TxLink">
            <a:rPr lang="en-US" sz="1400" b="1"/>
            <a:pPr algn="ctr"/>
            <a:t>Depth Subsea (feet)</a:t>
          </a:fld>
          <a:endParaRPr lang="en-US" sz="1400" b="1"/>
        </a:p>
      </xdr:txBody>
    </xdr:sp>
    <xdr:clientData/>
  </xdr:twoCellAnchor>
  <xdr:twoCellAnchor>
    <xdr:from>
      <xdr:col>18</xdr:col>
      <xdr:colOff>95250</xdr:colOff>
      <xdr:row>1</xdr:row>
      <xdr:rowOff>114300</xdr:rowOff>
    </xdr:from>
    <xdr:to>
      <xdr:col>18</xdr:col>
      <xdr:colOff>461010</xdr:colOff>
      <xdr:row>1</xdr:row>
      <xdr:rowOff>114300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>
          <a:off x="11430000" y="352425"/>
          <a:ext cx="365760" cy="0"/>
        </a:xfrm>
        <a:prstGeom prst="line">
          <a:avLst/>
        </a:prstGeom>
        <a:ln w="444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95250</xdr:colOff>
      <xdr:row>2</xdr:row>
      <xdr:rowOff>95250</xdr:rowOff>
    </xdr:from>
    <xdr:to>
      <xdr:col>18</xdr:col>
      <xdr:colOff>461010</xdr:colOff>
      <xdr:row>2</xdr:row>
      <xdr:rowOff>95250</xdr:rowOff>
    </xdr:to>
    <xdr:cxnSp macro="">
      <xdr:nvCxnSpPr>
        <xdr:cNvPr id="46" name="Straight Connector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CxnSpPr/>
      </xdr:nvCxnSpPr>
      <xdr:spPr>
        <a:xfrm>
          <a:off x="11430000" y="542925"/>
          <a:ext cx="365760" cy="0"/>
        </a:xfrm>
        <a:prstGeom prst="line">
          <a:avLst/>
        </a:prstGeom>
        <a:ln w="4445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95250</xdr:rowOff>
    </xdr:from>
    <xdr:to>
      <xdr:col>15</xdr:col>
      <xdr:colOff>240030</xdr:colOff>
      <xdr:row>25</xdr:row>
      <xdr:rowOff>95250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800975" y="4924425"/>
          <a:ext cx="2011680" cy="0"/>
        </a:xfrm>
        <a:prstGeom prst="line">
          <a:avLst/>
        </a:prstGeom>
        <a:ln w="4445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133350</xdr:rowOff>
    </xdr:from>
    <xdr:to>
      <xdr:col>8</xdr:col>
      <xdr:colOff>365760</xdr:colOff>
      <xdr:row>0</xdr:row>
      <xdr:rowOff>133350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6010275" y="133350"/>
          <a:ext cx="365760" cy="0"/>
        </a:xfrm>
        <a:prstGeom prst="line">
          <a:avLst/>
        </a:prstGeom>
        <a:ln w="444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</xdr:row>
      <xdr:rowOff>85725</xdr:rowOff>
    </xdr:from>
    <xdr:to>
      <xdr:col>8</xdr:col>
      <xdr:colOff>365760</xdr:colOff>
      <xdr:row>1</xdr:row>
      <xdr:rowOff>85725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6010275" y="323850"/>
          <a:ext cx="365760" cy="0"/>
        </a:xfrm>
        <a:prstGeom prst="line">
          <a:avLst/>
        </a:prstGeom>
        <a:ln w="4445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1</xdr:row>
      <xdr:rowOff>0</xdr:rowOff>
    </xdr:from>
    <xdr:to>
      <xdr:col>12</xdr:col>
      <xdr:colOff>266700</xdr:colOff>
      <xdr:row>1</xdr:row>
      <xdr:rowOff>147802</xdr:rowOff>
    </xdr:to>
    <xdr:sp macro="" textlink="">
      <xdr:nvSpPr>
        <xdr:cNvPr id="38" name="Isosceles Triangle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8582025" y="238125"/>
          <a:ext cx="171450" cy="147802"/>
        </a:xfrm>
        <a:prstGeom prst="triangl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absoluteAnchor>
    <xdr:pos x="3590925" y="809625"/>
    <xdr:ext cx="5248275" cy="4019550"/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4</xdr:col>
      <xdr:colOff>76200</xdr:colOff>
      <xdr:row>6</xdr:row>
      <xdr:rowOff>47625</xdr:rowOff>
    </xdr:from>
    <xdr:to>
      <xdr:col>4</xdr:col>
      <xdr:colOff>409575</xdr:colOff>
      <xdr:row>22</xdr:row>
      <xdr:rowOff>47624</xdr:rowOff>
    </xdr:to>
    <xdr:sp macro="" textlink="Hydro_Litho_Pp!$AB$31">
      <xdr:nvSpPr>
        <xdr:cNvPr id="40" name="TextBox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 rot="16200000">
          <a:off x="2309813" y="2595562"/>
          <a:ext cx="3047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99E86AD-334D-456F-9AD3-5BD82BFD8867}" type="TxLink">
            <a:rPr lang="en-US" sz="1400" b="1"/>
            <a:pPr algn="ctr"/>
            <a:t>Depth Subsea (feet)</a:t>
          </a:fld>
          <a:endParaRPr lang="en-US" sz="1400" b="1"/>
        </a:p>
      </xdr:txBody>
    </xdr:sp>
    <xdr:clientData/>
  </xdr:twoCellAnchor>
  <xdr:twoCellAnchor>
    <xdr:from>
      <xdr:col>5</xdr:col>
      <xdr:colOff>333375</xdr:colOff>
      <xdr:row>4</xdr:row>
      <xdr:rowOff>85725</xdr:rowOff>
    </xdr:from>
    <xdr:to>
      <xdr:col>11</xdr:col>
      <xdr:colOff>352425</xdr:colOff>
      <xdr:row>6</xdr:row>
      <xdr:rowOff>38100</xdr:rowOff>
    </xdr:to>
    <xdr:sp macro="" textlink="Hydro_Litho_Pp!$AB$30">
      <xdr:nvSpPr>
        <xdr:cNvPr id="41" name="TextBox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/>
      </xdr:nvSpPr>
      <xdr:spPr>
        <a:xfrm>
          <a:off x="4514850" y="895350"/>
          <a:ext cx="3733800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7E6DB5E-EAAA-431B-A9C0-2A79A71BC3E1}" type="TxLink">
            <a:rPr lang="en-US" sz="1400" b="1"/>
            <a:pPr algn="ctr"/>
            <a:t>Pressure/Stress (psi)</a:t>
          </a:fld>
          <a:endParaRPr lang="en-US" sz="1400" b="1"/>
        </a:p>
      </xdr:txBody>
    </xdr:sp>
    <xdr:clientData/>
  </xdr:twoCellAnchor>
  <xdr:absoluteAnchor>
    <xdr:pos x="7705725" y="809625"/>
    <xdr:ext cx="5248275" cy="4019550"/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12</xdr:col>
      <xdr:colOff>142875</xdr:colOff>
      <xdr:row>4</xdr:row>
      <xdr:rowOff>104775</xdr:rowOff>
    </xdr:from>
    <xdr:to>
      <xdr:col>18</xdr:col>
      <xdr:colOff>333375</xdr:colOff>
      <xdr:row>6</xdr:row>
      <xdr:rowOff>57150</xdr:rowOff>
    </xdr:to>
    <xdr:sp macro="" textlink="Hydro_Litho_Pp!$AB$32">
      <xdr:nvSpPr>
        <xdr:cNvPr id="43" name="TextBox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/>
      </xdr:nvSpPr>
      <xdr:spPr>
        <a:xfrm>
          <a:off x="8629650" y="914400"/>
          <a:ext cx="373380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EDCF25D-9E86-4732-BAC5-FD761B4CDE37}" type="TxLink">
            <a:rPr lang="en-US" sz="1400" b="1"/>
            <a:pPr algn="ctr"/>
            <a:t>Overpressure (psi)</a:t>
          </a:fld>
          <a:endParaRPr lang="en-US" sz="1400" b="1"/>
        </a:p>
      </xdr:txBody>
    </xdr:sp>
    <xdr:clientData/>
  </xdr:twoCellAnchor>
  <xdr:absoluteAnchor>
    <xdr:pos x="11839575" y="809625"/>
    <xdr:ext cx="5248275" cy="4019550"/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twoCellAnchor>
    <xdr:from>
      <xdr:col>19</xdr:col>
      <xdr:colOff>142876</xdr:colOff>
      <xdr:row>4</xdr:row>
      <xdr:rowOff>104775</xdr:rowOff>
    </xdr:from>
    <xdr:to>
      <xdr:col>25</xdr:col>
      <xdr:colOff>314326</xdr:colOff>
      <xdr:row>6</xdr:row>
      <xdr:rowOff>57150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/>
      </xdr:nvSpPr>
      <xdr:spPr>
        <a:xfrm>
          <a:off x="12763501" y="914400"/>
          <a:ext cx="3714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Mudweight</a:t>
          </a:r>
          <a:r>
            <a:rPr lang="en-US" sz="1600" b="1" baseline="0"/>
            <a:t> (PPG)</a:t>
          </a:r>
          <a:endParaRPr lang="en-US" sz="1600" b="1"/>
        </a:p>
      </xdr:txBody>
    </xdr:sp>
    <xdr:clientData/>
  </xdr:twoCellAnchor>
  <xdr:twoCellAnchor>
    <xdr:from>
      <xdr:col>26</xdr:col>
      <xdr:colOff>238125</xdr:colOff>
      <xdr:row>6</xdr:row>
      <xdr:rowOff>47625</xdr:rowOff>
    </xdr:from>
    <xdr:to>
      <xdr:col>26</xdr:col>
      <xdr:colOff>571500</xdr:colOff>
      <xdr:row>22</xdr:row>
      <xdr:rowOff>47624</xdr:rowOff>
    </xdr:to>
    <xdr:sp macro="" textlink="Hydro_Litho_Pp!$AB$31">
      <xdr:nvSpPr>
        <xdr:cNvPr id="46" name="TextBox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/>
      </xdr:nvSpPr>
      <xdr:spPr>
        <a:xfrm rot="5400000">
          <a:off x="15635288" y="2595562"/>
          <a:ext cx="3047999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99E86AD-334D-456F-9AD3-5BD82BFD8867}" type="TxLink">
            <a:rPr lang="en-US" sz="1400" b="1"/>
            <a:pPr algn="ctr"/>
            <a:t>Depth Subsea (feet)</a:t>
          </a:fld>
          <a:endParaRPr lang="en-US" sz="1400" b="1"/>
        </a:p>
      </xdr:txBody>
    </xdr:sp>
    <xdr:clientData/>
  </xdr:twoCellAnchor>
  <xdr:twoCellAnchor>
    <xdr:from>
      <xdr:col>8</xdr:col>
      <xdr:colOff>0</xdr:colOff>
      <xdr:row>2</xdr:row>
      <xdr:rowOff>95250</xdr:rowOff>
    </xdr:from>
    <xdr:to>
      <xdr:col>8</xdr:col>
      <xdr:colOff>365760</xdr:colOff>
      <xdr:row>2</xdr:row>
      <xdr:rowOff>95250</xdr:rowOff>
    </xdr:to>
    <xdr:cxnSp macro="">
      <xdr:nvCxnSpPr>
        <xdr:cNvPr id="47" name="Straight Connector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CxnSpPr/>
      </xdr:nvCxnSpPr>
      <xdr:spPr>
        <a:xfrm>
          <a:off x="6010275" y="523875"/>
          <a:ext cx="365760" cy="0"/>
        </a:xfrm>
        <a:prstGeom prst="line">
          <a:avLst/>
        </a:prstGeom>
        <a:ln w="44450"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114300</xdr:colOff>
      <xdr:row>2</xdr:row>
      <xdr:rowOff>57150</xdr:rowOff>
    </xdr:from>
    <xdr:to>
      <xdr:col>12</xdr:col>
      <xdr:colOff>260642</xdr:colOff>
      <xdr:row>3</xdr:row>
      <xdr:rowOff>12992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 rot="2700000">
          <a:off x="8601075" y="485775"/>
          <a:ext cx="146342" cy="146342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0</xdr:colOff>
      <xdr:row>25</xdr:row>
      <xdr:rowOff>123825</xdr:rowOff>
    </xdr:from>
    <xdr:to>
      <xdr:col>9</xdr:col>
      <xdr:colOff>144780</xdr:colOff>
      <xdr:row>25</xdr:row>
      <xdr:rowOff>123825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772025" y="4933950"/>
          <a:ext cx="2011680" cy="0"/>
        </a:xfrm>
        <a:prstGeom prst="line">
          <a:avLst/>
        </a:prstGeom>
        <a:ln w="4445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</xdr:row>
      <xdr:rowOff>0</xdr:rowOff>
    </xdr:from>
    <xdr:to>
      <xdr:col>11</xdr:col>
      <xdr:colOff>333374</xdr:colOff>
      <xdr:row>58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0</xdr:row>
      <xdr:rowOff>180975</xdr:rowOff>
    </xdr:from>
    <xdr:to>
      <xdr:col>20</xdr:col>
      <xdr:colOff>352425</xdr:colOff>
      <xdr:row>58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238857</xdr:colOff>
      <xdr:row>1</xdr:row>
      <xdr:rowOff>1465</xdr:rowOff>
    </xdr:from>
    <xdr:to>
      <xdr:col>29</xdr:col>
      <xdr:colOff>572232</xdr:colOff>
      <xdr:row>58</xdr:row>
      <xdr:rowOff>115765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59</xdr:row>
      <xdr:rowOff>9525</xdr:rowOff>
    </xdr:from>
    <xdr:to>
      <xdr:col>12</xdr:col>
      <xdr:colOff>336097</xdr:colOff>
      <xdr:row>116</xdr:row>
      <xdr:rowOff>123825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21772</xdr:colOff>
      <xdr:row>59</xdr:row>
      <xdr:rowOff>0</xdr:rowOff>
    </xdr:from>
    <xdr:to>
      <xdr:col>21</xdr:col>
      <xdr:colOff>355148</xdr:colOff>
      <xdr:row>116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241579</xdr:colOff>
      <xdr:row>59</xdr:row>
      <xdr:rowOff>10990</xdr:rowOff>
    </xdr:from>
    <xdr:to>
      <xdr:col>30</xdr:col>
      <xdr:colOff>574954</xdr:colOff>
      <xdr:row>116</xdr:row>
      <xdr:rowOff>125290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117</xdr:row>
      <xdr:rowOff>9525</xdr:rowOff>
    </xdr:from>
    <xdr:to>
      <xdr:col>11</xdr:col>
      <xdr:colOff>336096</xdr:colOff>
      <xdr:row>174</xdr:row>
      <xdr:rowOff>123825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21772</xdr:colOff>
      <xdr:row>117</xdr:row>
      <xdr:rowOff>0</xdr:rowOff>
    </xdr:from>
    <xdr:to>
      <xdr:col>20</xdr:col>
      <xdr:colOff>355147</xdr:colOff>
      <xdr:row>174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241579</xdr:colOff>
      <xdr:row>117</xdr:row>
      <xdr:rowOff>10990</xdr:rowOff>
    </xdr:from>
    <xdr:to>
      <xdr:col>29</xdr:col>
      <xdr:colOff>574954</xdr:colOff>
      <xdr:row>174</xdr:row>
      <xdr:rowOff>125290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177</xdr:row>
      <xdr:rowOff>9525</xdr:rowOff>
    </xdr:from>
    <xdr:to>
      <xdr:col>11</xdr:col>
      <xdr:colOff>336096</xdr:colOff>
      <xdr:row>234</xdr:row>
      <xdr:rowOff>123825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21772</xdr:colOff>
      <xdr:row>177</xdr:row>
      <xdr:rowOff>0</xdr:rowOff>
    </xdr:from>
    <xdr:to>
      <xdr:col>20</xdr:col>
      <xdr:colOff>355147</xdr:colOff>
      <xdr:row>234</xdr:row>
      <xdr:rowOff>114300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241579</xdr:colOff>
      <xdr:row>177</xdr:row>
      <xdr:rowOff>10990</xdr:rowOff>
    </xdr:from>
    <xdr:to>
      <xdr:col>29</xdr:col>
      <xdr:colOff>574954</xdr:colOff>
      <xdr:row>234</xdr:row>
      <xdr:rowOff>125290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2"/>
  <sheetViews>
    <sheetView zoomScaleNormal="100" workbookViewId="0">
      <selection activeCell="E9" sqref="E9"/>
    </sheetView>
  </sheetViews>
  <sheetFormatPr defaultColWidth="8.85546875" defaultRowHeight="15" x14ac:dyDescent="0.25"/>
  <cols>
    <col min="1" max="1" width="12.85546875" style="11" customWidth="1"/>
    <col min="2" max="2" width="12.140625" style="10" bestFit="1" customWidth="1"/>
    <col min="3" max="3" width="12.140625" style="10" customWidth="1"/>
    <col min="4" max="4" width="13.28515625" style="10" customWidth="1"/>
    <col min="5" max="5" width="15.5703125" style="10" customWidth="1"/>
    <col min="6" max="6" width="18.85546875" style="10" customWidth="1"/>
    <col min="7" max="7" width="13.85546875" style="10" customWidth="1"/>
    <col min="8" max="8" width="14.28515625" style="10" customWidth="1"/>
    <col min="9" max="12" width="8.85546875" style="10"/>
    <col min="13" max="14" width="8.85546875" style="10" customWidth="1"/>
    <col min="15" max="15" width="8.85546875" style="10"/>
    <col min="16" max="20" width="8.85546875" style="10" customWidth="1"/>
    <col min="21" max="16384" width="8.85546875" style="10"/>
  </cols>
  <sheetData>
    <row r="1" spans="1:36" ht="18.75" customHeight="1" x14ac:dyDescent="0.3">
      <c r="A1" s="133" t="s">
        <v>8</v>
      </c>
      <c r="B1" s="133"/>
      <c r="C1" s="133"/>
      <c r="D1" s="133"/>
      <c r="E1" s="133"/>
      <c r="F1" s="133"/>
      <c r="I1" s="119" t="s">
        <v>15</v>
      </c>
      <c r="J1" s="120"/>
      <c r="K1" s="72"/>
      <c r="L1" s="73" t="s">
        <v>18</v>
      </c>
      <c r="M1" s="74"/>
      <c r="N1" s="75"/>
      <c r="O1" s="76"/>
      <c r="P1" s="89"/>
      <c r="Q1" s="83"/>
      <c r="R1" s="83"/>
    </row>
    <row r="2" spans="1:36" ht="15" customHeight="1" x14ac:dyDescent="0.25">
      <c r="A2" s="132" t="s">
        <v>15</v>
      </c>
      <c r="B2" s="132"/>
      <c r="C2" s="37"/>
      <c r="I2" s="121"/>
      <c r="J2" s="122"/>
      <c r="K2" s="82"/>
      <c r="L2" s="81" t="s">
        <v>14</v>
      </c>
      <c r="M2" s="82"/>
      <c r="N2" s="82"/>
      <c r="O2" s="23" t="s">
        <v>54</v>
      </c>
      <c r="P2" s="90"/>
      <c r="Q2" s="82"/>
      <c r="R2" s="82"/>
      <c r="AE2" s="128"/>
      <c r="AF2" s="128"/>
      <c r="AG2" s="128"/>
      <c r="AH2" s="128"/>
      <c r="AI2" s="128"/>
      <c r="AJ2" s="128"/>
    </row>
    <row r="3" spans="1:36" ht="15" customHeight="1" x14ac:dyDescent="0.25">
      <c r="A3" s="130" t="s">
        <v>39</v>
      </c>
      <c r="B3" s="130"/>
      <c r="D3" s="118" t="s">
        <v>58</v>
      </c>
      <c r="E3" s="118"/>
      <c r="F3" s="107" t="s">
        <v>40</v>
      </c>
      <c r="I3" s="123"/>
      <c r="J3" s="124"/>
      <c r="K3" s="79"/>
      <c r="L3" s="86"/>
      <c r="M3" s="79"/>
      <c r="N3" s="79"/>
      <c r="O3" s="79"/>
      <c r="P3" s="91"/>
      <c r="Q3" s="82"/>
      <c r="R3" s="82"/>
      <c r="AE3" s="128"/>
      <c r="AF3" s="128"/>
      <c r="AG3" s="128"/>
      <c r="AH3" s="128"/>
      <c r="AI3" s="128"/>
      <c r="AJ3" s="128"/>
    </row>
    <row r="4" spans="1:36" ht="15" customHeight="1" x14ac:dyDescent="0.25">
      <c r="A4" s="130"/>
      <c r="B4" s="130"/>
      <c r="D4" s="118"/>
      <c r="E4" s="118"/>
      <c r="F4" s="108"/>
      <c r="H4" s="64"/>
      <c r="I4" s="85"/>
      <c r="J4" s="85"/>
      <c r="K4" s="82"/>
      <c r="L4" s="82"/>
      <c r="M4" s="82"/>
      <c r="N4" s="82"/>
      <c r="O4" s="82"/>
      <c r="P4" s="82"/>
      <c r="Q4" s="82"/>
      <c r="R4" s="82"/>
      <c r="AE4" s="92"/>
      <c r="AF4" s="92"/>
      <c r="AG4" s="92"/>
      <c r="AH4" s="92"/>
      <c r="AI4" s="92"/>
      <c r="AJ4" s="92"/>
    </row>
    <row r="5" spans="1:36" x14ac:dyDescent="0.25">
      <c r="A5" s="131" t="s">
        <v>16</v>
      </c>
      <c r="B5" s="131"/>
      <c r="C5" s="35"/>
      <c r="AE5" s="93"/>
      <c r="AF5" s="93"/>
      <c r="AG5" s="34"/>
      <c r="AH5" s="34"/>
      <c r="AI5" s="34"/>
      <c r="AJ5" s="34"/>
    </row>
    <row r="6" spans="1:36" x14ac:dyDescent="0.25">
      <c r="A6" s="36"/>
      <c r="B6" s="35"/>
      <c r="C6" s="35"/>
      <c r="AE6" s="93"/>
      <c r="AF6" s="93"/>
      <c r="AG6" s="34"/>
      <c r="AH6" s="49"/>
      <c r="AI6" s="34"/>
      <c r="AJ6" s="49"/>
    </row>
    <row r="7" spans="1:36" x14ac:dyDescent="0.25">
      <c r="A7" s="19" t="s">
        <v>38</v>
      </c>
      <c r="B7" s="18" t="str">
        <f>IF($F$3=$AC$31,"meters","feet")</f>
        <v>feet</v>
      </c>
      <c r="D7" s="125" t="s">
        <v>45</v>
      </c>
      <c r="E7" s="126"/>
      <c r="F7" s="15" t="s">
        <v>0</v>
      </c>
      <c r="AE7" s="93"/>
      <c r="AF7" s="93"/>
      <c r="AG7" s="34"/>
      <c r="AH7" s="49"/>
      <c r="AI7" s="34"/>
      <c r="AJ7" s="49"/>
    </row>
    <row r="8" spans="1:36" x14ac:dyDescent="0.25">
      <c r="A8" s="39" t="s">
        <v>50</v>
      </c>
      <c r="B8" s="44">
        <v>5000</v>
      </c>
      <c r="D8" s="46" t="s">
        <v>43</v>
      </c>
      <c r="E8" s="44">
        <v>12000</v>
      </c>
      <c r="F8" s="18" t="str">
        <f>IF($F$3=$AC$31,"MPa","PSI")</f>
        <v>PSI</v>
      </c>
      <c r="AE8" s="93"/>
      <c r="AF8" s="93"/>
      <c r="AG8" s="34"/>
      <c r="AH8" s="49"/>
      <c r="AI8" s="34"/>
      <c r="AJ8" s="49"/>
    </row>
    <row r="9" spans="1:36" x14ac:dyDescent="0.25">
      <c r="A9" s="40" t="s">
        <v>42</v>
      </c>
      <c r="B9" s="44">
        <v>18000</v>
      </c>
      <c r="D9" s="46" t="s">
        <v>34</v>
      </c>
      <c r="E9" s="15">
        <f>E8-B52</f>
        <v>4080</v>
      </c>
      <c r="F9" s="18" t="str">
        <f>IF($F$3=$AC$31,"MPa","PSI")</f>
        <v>PSI</v>
      </c>
      <c r="AE9" s="11"/>
    </row>
    <row r="10" spans="1:36" x14ac:dyDescent="0.25">
      <c r="A10" s="38" t="s">
        <v>51</v>
      </c>
      <c r="B10" s="44">
        <v>20000</v>
      </c>
      <c r="D10" s="46" t="s">
        <v>44</v>
      </c>
      <c r="E10" s="16">
        <f>IF($F$3=$AC$30,(E8/B9)*(1/0.052),((E8*0.3048)/(B9*0.00689475729*0.052)))</f>
        <v>12.820512820512819</v>
      </c>
      <c r="F10" s="18" t="s">
        <v>26</v>
      </c>
      <c r="AE10" s="129"/>
      <c r="AF10" s="129"/>
      <c r="AG10" s="129"/>
      <c r="AH10" s="129"/>
      <c r="AI10" s="129"/>
      <c r="AJ10" s="129"/>
    </row>
    <row r="11" spans="1:36" x14ac:dyDescent="0.25">
      <c r="AE11" s="129"/>
      <c r="AF11" s="129"/>
      <c r="AG11" s="129"/>
      <c r="AH11" s="129"/>
      <c r="AI11" s="129"/>
      <c r="AJ11" s="129"/>
    </row>
    <row r="12" spans="1:36" ht="18.75" x14ac:dyDescent="0.25">
      <c r="A12" s="127" t="s">
        <v>9</v>
      </c>
      <c r="B12" s="127"/>
      <c r="C12" s="127"/>
      <c r="D12" s="127"/>
      <c r="E12" s="127"/>
      <c r="F12" s="127"/>
    </row>
    <row r="13" spans="1:36" x14ac:dyDescent="0.25">
      <c r="A13" s="112" t="s">
        <v>9</v>
      </c>
      <c r="B13" s="112"/>
      <c r="C13" s="3" t="s">
        <v>10</v>
      </c>
      <c r="D13" s="18" t="str">
        <f>IF(C13="psi/ft","MPa/km",IF(C13="kg/m^3","psi/ft","psi/ft"))</f>
        <v>MPa/km</v>
      </c>
      <c r="E13" s="18" t="str">
        <f>IF(C13="psi/ft","kg/m^3",IF(C13="kg/m^3","MPa/km","kg/m^3"))</f>
        <v>kg/m^3</v>
      </c>
      <c r="F13" s="15" t="s">
        <v>12</v>
      </c>
    </row>
    <row r="14" spans="1:36" x14ac:dyDescent="0.25">
      <c r="A14" s="113" t="s">
        <v>48</v>
      </c>
      <c r="B14" s="114"/>
      <c r="C14" s="45">
        <v>0.44</v>
      </c>
      <c r="D14" s="16">
        <f>IF($D$13="MPa/km",(C14*(0.00689475729/0.3048)*1000),IF($C$13="kg/m^3",((C14*0.3048)/(0.45359237*39.3700787^2)),(C14*(0.3048/0.00689475729)/1000)))</f>
        <v>9.9530617047244085</v>
      </c>
      <c r="E14" s="20">
        <f>IF($C$13="psi/ft",((C14/0.3048)*(0.45359237)*(39.3700787^2)),IF($C$13="MPa/km",((D14/0.3048)*(0.45359237)*(39.3700787^2)),(D14*(0.00689475729/0.3048)*1000)))</f>
        <v>1014.9298373036576</v>
      </c>
      <c r="F14" s="16">
        <f>IF($C$13=$AD$30,(C14*(1/0.052)),IF($C$13=$AD$31,(D14*(1/0.052)),(D14*(1/0.052))))</f>
        <v>8.4615384615384617</v>
      </c>
    </row>
    <row r="15" spans="1:36" x14ac:dyDescent="0.25">
      <c r="A15" s="113" t="s">
        <v>47</v>
      </c>
      <c r="B15" s="113"/>
      <c r="C15" s="45">
        <v>0.44</v>
      </c>
      <c r="D15" s="16">
        <f t="shared" ref="D15:D16" si="0">IF($D$13="MPa/km",(C15*(0.00689475729/0.3048)*1000),IF($C$13="kg/m^3",((C15*0.3048)/(0.45359237*39.3700787^2)),(C15*(0.3048/0.00689475729)/1000)))</f>
        <v>9.9530617047244085</v>
      </c>
      <c r="E15" s="20">
        <f t="shared" ref="E15:E16" si="1">IF($C$13="psi/ft",((C15/0.3048)*(0.45359237)*(39.3700787^2)),IF($C$13="MPa/km",((D15/0.3048)*(0.45359237)*(39.3700787^2)),(D15*(0.00689475729/0.3048)*1000)))</f>
        <v>1014.9298373036576</v>
      </c>
      <c r="F15" s="16">
        <f t="shared" ref="F15:F16" si="2">IF($C$13=$AD$30,(C15*(1/0.052)),IF($C$13=$AD$31,(D15*(1/0.052)),(D15*(1/0.052))))</f>
        <v>8.4615384615384617</v>
      </c>
    </row>
    <row r="16" spans="1:36" x14ac:dyDescent="0.25">
      <c r="A16" s="113" t="s">
        <v>49</v>
      </c>
      <c r="B16" s="113"/>
      <c r="C16" s="45">
        <v>0.97</v>
      </c>
      <c r="D16" s="16">
        <f t="shared" si="0"/>
        <v>21.941976939960629</v>
      </c>
      <c r="E16" s="20">
        <f t="shared" si="1"/>
        <v>2237.4589595103362</v>
      </c>
      <c r="F16" s="16">
        <f t="shared" si="2"/>
        <v>18.653846153846153</v>
      </c>
    </row>
    <row r="17" spans="1:37" x14ac:dyDescent="0.25">
      <c r="A17" s="48"/>
      <c r="B17" s="51"/>
      <c r="C17" s="49"/>
      <c r="D17" s="50"/>
      <c r="E17" s="49"/>
    </row>
    <row r="18" spans="1:37" ht="18.75" x14ac:dyDescent="0.3">
      <c r="A18" s="111" t="s">
        <v>46</v>
      </c>
      <c r="B18" s="111"/>
      <c r="C18" s="111"/>
      <c r="D18" s="111"/>
      <c r="E18" s="111"/>
      <c r="F18" s="111"/>
    </row>
    <row r="19" spans="1:37" ht="15" customHeight="1" x14ac:dyDescent="0.25">
      <c r="A19" s="109" t="s">
        <v>17</v>
      </c>
      <c r="B19" s="110" t="s">
        <v>18</v>
      </c>
      <c r="C19" s="110"/>
      <c r="D19" s="110" t="s">
        <v>14</v>
      </c>
      <c r="E19" s="110"/>
      <c r="F19" s="109" t="s">
        <v>34</v>
      </c>
      <c r="AH19" s="116"/>
      <c r="AI19" s="51"/>
    </row>
    <row r="20" spans="1:37" x14ac:dyDescent="0.25">
      <c r="A20" s="109"/>
      <c r="B20" s="110"/>
      <c r="C20" s="110"/>
      <c r="D20" s="110"/>
      <c r="E20" s="110"/>
      <c r="F20" s="109"/>
      <c r="S20" s="64"/>
      <c r="AH20" s="116"/>
      <c r="AI20" s="51"/>
    </row>
    <row r="21" spans="1:37" x14ac:dyDescent="0.25">
      <c r="A21" s="18" t="str">
        <f>IF($F$3=$AC$31,"meters","feet")</f>
        <v>feet</v>
      </c>
      <c r="B21" s="18" t="str">
        <f>IF($F$3=$AC$31,"MPa","PSI")</f>
        <v>PSI</v>
      </c>
      <c r="C21" s="18" t="s">
        <v>26</v>
      </c>
      <c r="D21" s="18" t="str">
        <f>IF($F$3=$AC$31,"MPa","PSI")</f>
        <v>PSI</v>
      </c>
      <c r="E21" s="18" t="s">
        <v>26</v>
      </c>
      <c r="F21" s="18" t="str">
        <f>IF($F$3=$AC$31,"MPa","PSI")</f>
        <v>PSI</v>
      </c>
      <c r="S21" s="11"/>
      <c r="AH21" s="116"/>
      <c r="AI21" s="34"/>
    </row>
    <row r="22" spans="1:37" x14ac:dyDescent="0.25">
      <c r="A22" s="15">
        <v>0</v>
      </c>
      <c r="B22" s="15">
        <v>0</v>
      </c>
      <c r="C22" s="15">
        <v>0</v>
      </c>
      <c r="D22" s="25">
        <v>0</v>
      </c>
      <c r="E22" s="25">
        <v>0</v>
      </c>
      <c r="F22" s="26" t="s">
        <v>37</v>
      </c>
    </row>
    <row r="23" spans="1:37" x14ac:dyDescent="0.25">
      <c r="A23" s="15">
        <f t="shared" ref="A23:A31" si="3">A22+($A$32-$A$22)/(10)</f>
        <v>500</v>
      </c>
      <c r="B23" s="15">
        <f t="shared" ref="B23:B32" si="4">IF($F$3=$AC$30,B22+((A23-A22)*INDEX($C$14:$E$14,MATCH("psi/ft",$C$13:$E$13,0))),B22+(((A23-A22)/1000)*INDEX($C$14:$E$14,MATCH("Mpa/km",$C$13:$E$13,0))))</f>
        <v>220</v>
      </c>
      <c r="C23" s="16">
        <f t="shared" ref="C23:C62" si="5">IF($F$3=$AC$30,(B23/A23)*(1/0.052),((B23*0.3048)/(A23*0.00689475729*0.052)))</f>
        <v>8.4615384615384617</v>
      </c>
      <c r="D23" s="25">
        <v>0</v>
      </c>
      <c r="E23" s="25">
        <v>0</v>
      </c>
      <c r="F23" s="26" t="s">
        <v>37</v>
      </c>
      <c r="AI23" s="117"/>
      <c r="AJ23" s="117"/>
      <c r="AK23" s="117"/>
    </row>
    <row r="24" spans="1:37" x14ac:dyDescent="0.25">
      <c r="A24" s="15">
        <f t="shared" si="3"/>
        <v>1000</v>
      </c>
      <c r="B24" s="15">
        <f t="shared" si="4"/>
        <v>440</v>
      </c>
      <c r="C24" s="16">
        <f t="shared" si="5"/>
        <v>8.4615384615384617</v>
      </c>
      <c r="D24" s="25">
        <v>0</v>
      </c>
      <c r="E24" s="25">
        <v>0</v>
      </c>
      <c r="F24" s="26" t="s">
        <v>37</v>
      </c>
      <c r="AI24" s="34"/>
      <c r="AJ24" s="24"/>
      <c r="AK24" s="34"/>
    </row>
    <row r="25" spans="1:37" x14ac:dyDescent="0.25">
      <c r="A25" s="15">
        <f t="shared" si="3"/>
        <v>1500</v>
      </c>
      <c r="B25" s="15">
        <f t="shared" si="4"/>
        <v>660</v>
      </c>
      <c r="C25" s="16">
        <f t="shared" si="5"/>
        <v>8.4615384615384617</v>
      </c>
      <c r="D25" s="25">
        <v>0</v>
      </c>
      <c r="E25" s="25">
        <v>0</v>
      </c>
      <c r="F25" s="26" t="s">
        <v>37</v>
      </c>
      <c r="AI25" s="49"/>
      <c r="AJ25" s="24"/>
      <c r="AK25" s="34"/>
    </row>
    <row r="26" spans="1:37" x14ac:dyDescent="0.25">
      <c r="A26" s="15">
        <f t="shared" si="3"/>
        <v>2000</v>
      </c>
      <c r="B26" s="15">
        <f t="shared" si="4"/>
        <v>880</v>
      </c>
      <c r="C26" s="16">
        <f t="shared" si="5"/>
        <v>8.4615384615384617</v>
      </c>
      <c r="D26" s="25">
        <v>0</v>
      </c>
      <c r="E26" s="25">
        <v>0</v>
      </c>
      <c r="F26" s="26" t="s">
        <v>37</v>
      </c>
      <c r="H26" s="115" t="s">
        <v>59</v>
      </c>
      <c r="I26" s="115"/>
      <c r="J26" s="115"/>
    </row>
    <row r="27" spans="1:37" x14ac:dyDescent="0.25">
      <c r="A27" s="15">
        <f t="shared" si="3"/>
        <v>2500</v>
      </c>
      <c r="B27" s="15">
        <f t="shared" si="4"/>
        <v>1100</v>
      </c>
      <c r="C27" s="16">
        <f t="shared" si="5"/>
        <v>8.4615384615384617</v>
      </c>
      <c r="D27" s="25">
        <v>0</v>
      </c>
      <c r="E27" s="25">
        <v>0</v>
      </c>
      <c r="F27" s="26" t="s">
        <v>37</v>
      </c>
    </row>
    <row r="28" spans="1:37" x14ac:dyDescent="0.25">
      <c r="A28" s="15">
        <f t="shared" si="3"/>
        <v>3000</v>
      </c>
      <c r="B28" s="15">
        <f t="shared" si="4"/>
        <v>1320</v>
      </c>
      <c r="C28" s="16">
        <f t="shared" si="5"/>
        <v>8.4615384615384617</v>
      </c>
      <c r="D28" s="25">
        <v>0</v>
      </c>
      <c r="E28" s="25">
        <v>0</v>
      </c>
      <c r="F28" s="26" t="s">
        <v>37</v>
      </c>
    </row>
    <row r="29" spans="1:37" x14ac:dyDescent="0.25">
      <c r="A29" s="15">
        <f t="shared" si="3"/>
        <v>3500</v>
      </c>
      <c r="B29" s="15">
        <f t="shared" si="4"/>
        <v>1540</v>
      </c>
      <c r="C29" s="16">
        <f t="shared" si="5"/>
        <v>8.4615384615384617</v>
      </c>
      <c r="D29" s="25">
        <v>0</v>
      </c>
      <c r="E29" s="25">
        <v>0</v>
      </c>
      <c r="F29" s="26" t="s">
        <v>37</v>
      </c>
    </row>
    <row r="30" spans="1:37" x14ac:dyDescent="0.25">
      <c r="A30" s="15">
        <f t="shared" si="3"/>
        <v>4000</v>
      </c>
      <c r="B30" s="15">
        <f t="shared" si="4"/>
        <v>1760</v>
      </c>
      <c r="C30" s="16">
        <f t="shared" si="5"/>
        <v>8.4615384615384617</v>
      </c>
      <c r="D30" s="25">
        <v>0</v>
      </c>
      <c r="E30" s="25">
        <v>0</v>
      </c>
      <c r="F30" s="26" t="s">
        <v>37</v>
      </c>
      <c r="AB30" s="10" t="str">
        <f>IF($F$3=$AC$31,"Pressure/Stress (mpa)","Pressure/Stress (psi)")</f>
        <v>Pressure/Stress (psi)</v>
      </c>
      <c r="AC30" s="10" t="s">
        <v>40</v>
      </c>
      <c r="AD30" s="10" t="s">
        <v>10</v>
      </c>
    </row>
    <row r="31" spans="1:37" x14ac:dyDescent="0.25">
      <c r="A31" s="15">
        <f t="shared" si="3"/>
        <v>4500</v>
      </c>
      <c r="B31" s="15">
        <f t="shared" si="4"/>
        <v>1980</v>
      </c>
      <c r="C31" s="16">
        <f t="shared" si="5"/>
        <v>8.4615384615384617</v>
      </c>
      <c r="D31" s="25">
        <v>0</v>
      </c>
      <c r="E31" s="25">
        <v>0</v>
      </c>
      <c r="F31" s="26" t="s">
        <v>37</v>
      </c>
      <c r="AB31" s="10" t="str">
        <f>IF($F$3=$AC$31,"Depth Subsea (meters)","Depth Subsea (feet)")</f>
        <v>Depth Subsea (feet)</v>
      </c>
      <c r="AC31" s="10" t="s">
        <v>41</v>
      </c>
      <c r="AD31" s="10" t="s">
        <v>13</v>
      </c>
      <c r="AH31" s="13"/>
    </row>
    <row r="32" spans="1:37" x14ac:dyDescent="0.25">
      <c r="A32" s="41">
        <f>B8</f>
        <v>5000</v>
      </c>
      <c r="B32" s="41">
        <f t="shared" si="4"/>
        <v>2200</v>
      </c>
      <c r="C32" s="54">
        <f t="shared" si="5"/>
        <v>8.4615384615384617</v>
      </c>
      <c r="D32" s="41">
        <f>B32</f>
        <v>2200</v>
      </c>
      <c r="E32" s="54">
        <f>IF($F$3=$AC$30,(D32/A32)*(1/0.052),((D32*0.0348)/(A32*0.00689475729*0.052)))</f>
        <v>8.4615384615384617</v>
      </c>
      <c r="F32" s="55">
        <f>D32-B32</f>
        <v>0</v>
      </c>
      <c r="AB32" s="10" t="str">
        <f>IF($F$3=$AC$31,"Overpressure (mpa)","Overpressure (psi)")</f>
        <v>Overpressure (psi)</v>
      </c>
      <c r="AD32" s="10" t="s">
        <v>11</v>
      </c>
      <c r="AH32" s="13"/>
    </row>
    <row r="33" spans="1:6" x14ac:dyDescent="0.25">
      <c r="A33" s="15">
        <f t="shared" ref="A33:A51" si="6">A32+($A$52-$A$32)/(20)</f>
        <v>5650</v>
      </c>
      <c r="B33" s="15">
        <f t="shared" ref="B33:B62" si="7">IF($F$3=$AC$30,B32+((A33-A32)*INDEX($C$15:$E$15,MATCH("psi/ft",$C$13:$E$13,0))),B32+(((A33-A32)/1000)*INDEX($C$15:$E$15,MATCH("Mpa/km",$C$13:$E$13,0))))</f>
        <v>2486</v>
      </c>
      <c r="C33" s="16">
        <f t="shared" si="5"/>
        <v>8.4615384615384617</v>
      </c>
      <c r="D33" s="25">
        <f t="shared" ref="D33:D62" si="8">IF($F$3=$AC$30,D32+((A33-A32)*INDEX($C$16:$E$16,MATCH("psi/ft",$C$13:$E$13,0))),D32+(((A33-A32)/1000)*INDEX($C$16:$E$16,MATCH("Mpa/km",$C$13:$E$13,0))))</f>
        <v>2830.5</v>
      </c>
      <c r="E33" s="16">
        <f t="shared" ref="E33:E62" si="9">IF($F$3=$AC$30,(D33/A33)*(1/0.052),((D33*0.3048)/(A33*0.00689475729*0.052)))</f>
        <v>9.6341048332198778</v>
      </c>
      <c r="F33" s="25">
        <f t="shared" ref="F33:F62" si="10">D33-B33</f>
        <v>344.5</v>
      </c>
    </row>
    <row r="34" spans="1:6" x14ac:dyDescent="0.25">
      <c r="A34" s="15">
        <f t="shared" si="6"/>
        <v>6300</v>
      </c>
      <c r="B34" s="15">
        <f t="shared" si="7"/>
        <v>2772</v>
      </c>
      <c r="C34" s="16">
        <f t="shared" si="5"/>
        <v>8.4615384615384617</v>
      </c>
      <c r="D34" s="25">
        <f t="shared" si="8"/>
        <v>3461</v>
      </c>
      <c r="E34" s="16">
        <f t="shared" si="9"/>
        <v>10.564713064713064</v>
      </c>
      <c r="F34" s="25">
        <f t="shared" si="10"/>
        <v>689</v>
      </c>
    </row>
    <row r="35" spans="1:6" x14ac:dyDescent="0.25">
      <c r="A35" s="15">
        <f t="shared" si="6"/>
        <v>6950</v>
      </c>
      <c r="B35" s="15">
        <f t="shared" si="7"/>
        <v>3058</v>
      </c>
      <c r="C35" s="16">
        <f t="shared" si="5"/>
        <v>8.4615384615384617</v>
      </c>
      <c r="D35" s="25">
        <f t="shared" si="8"/>
        <v>4091.5</v>
      </c>
      <c r="E35" s="16">
        <f t="shared" si="9"/>
        <v>11.321250691754289</v>
      </c>
      <c r="F35" s="25">
        <f t="shared" si="10"/>
        <v>1033.5</v>
      </c>
    </row>
    <row r="36" spans="1:6" x14ac:dyDescent="0.25">
      <c r="A36" s="15">
        <f t="shared" si="6"/>
        <v>7600</v>
      </c>
      <c r="B36" s="15">
        <f t="shared" si="7"/>
        <v>3344</v>
      </c>
      <c r="C36" s="16">
        <f t="shared" si="5"/>
        <v>8.4615384615384617</v>
      </c>
      <c r="D36" s="25">
        <f t="shared" si="8"/>
        <v>4722</v>
      </c>
      <c r="E36" s="16">
        <f t="shared" si="9"/>
        <v>11.948380566801619</v>
      </c>
      <c r="F36" s="25">
        <f t="shared" si="10"/>
        <v>1378</v>
      </c>
    </row>
    <row r="37" spans="1:6" x14ac:dyDescent="0.25">
      <c r="A37" s="15">
        <f t="shared" si="6"/>
        <v>8250</v>
      </c>
      <c r="B37" s="15">
        <f t="shared" si="7"/>
        <v>3630</v>
      </c>
      <c r="C37" s="16">
        <f t="shared" si="5"/>
        <v>8.4615384615384617</v>
      </c>
      <c r="D37" s="25">
        <f t="shared" si="8"/>
        <v>5352.5</v>
      </c>
      <c r="E37" s="16">
        <f t="shared" si="9"/>
        <v>12.476689976689977</v>
      </c>
      <c r="F37" s="25">
        <f t="shared" si="10"/>
        <v>1722.5</v>
      </c>
    </row>
    <row r="38" spans="1:6" x14ac:dyDescent="0.25">
      <c r="A38" s="15">
        <f t="shared" si="6"/>
        <v>8900</v>
      </c>
      <c r="B38" s="15">
        <f t="shared" si="7"/>
        <v>3916</v>
      </c>
      <c r="C38" s="16">
        <f t="shared" si="5"/>
        <v>8.4615384615384617</v>
      </c>
      <c r="D38" s="25">
        <f t="shared" si="8"/>
        <v>5983</v>
      </c>
      <c r="E38" s="16">
        <f t="shared" si="9"/>
        <v>12.927830596369922</v>
      </c>
      <c r="F38" s="25">
        <f t="shared" si="10"/>
        <v>2067</v>
      </c>
    </row>
    <row r="39" spans="1:6" x14ac:dyDescent="0.25">
      <c r="A39" s="15">
        <f t="shared" si="6"/>
        <v>9550</v>
      </c>
      <c r="B39" s="15">
        <f t="shared" si="7"/>
        <v>4202</v>
      </c>
      <c r="C39" s="16">
        <f t="shared" si="5"/>
        <v>8.4615384615384617</v>
      </c>
      <c r="D39" s="25">
        <f t="shared" si="8"/>
        <v>6613.5</v>
      </c>
      <c r="E39" s="16">
        <f t="shared" si="9"/>
        <v>13.317559403946838</v>
      </c>
      <c r="F39" s="25">
        <f t="shared" si="10"/>
        <v>2411.5</v>
      </c>
    </row>
    <row r="40" spans="1:6" x14ac:dyDescent="0.25">
      <c r="A40" s="15">
        <f t="shared" si="6"/>
        <v>10200</v>
      </c>
      <c r="B40" s="15">
        <f t="shared" si="7"/>
        <v>4488</v>
      </c>
      <c r="C40" s="16">
        <f t="shared" si="5"/>
        <v>8.4615384615384617</v>
      </c>
      <c r="D40" s="25">
        <f t="shared" si="8"/>
        <v>7244</v>
      </c>
      <c r="E40" s="16">
        <f t="shared" si="9"/>
        <v>13.65761689291101</v>
      </c>
      <c r="F40" s="25">
        <f t="shared" si="10"/>
        <v>2756</v>
      </c>
    </row>
    <row r="41" spans="1:6" x14ac:dyDescent="0.25">
      <c r="A41" s="15">
        <f t="shared" si="6"/>
        <v>10850</v>
      </c>
      <c r="B41" s="15">
        <f t="shared" si="7"/>
        <v>4774</v>
      </c>
      <c r="C41" s="16">
        <f t="shared" si="5"/>
        <v>8.4615384615384617</v>
      </c>
      <c r="D41" s="25">
        <f t="shared" si="8"/>
        <v>7874.5</v>
      </c>
      <c r="E41" s="16">
        <f t="shared" si="9"/>
        <v>13.956930166607586</v>
      </c>
      <c r="F41" s="25">
        <f t="shared" si="10"/>
        <v>3100.5</v>
      </c>
    </row>
    <row r="42" spans="1:6" x14ac:dyDescent="0.25">
      <c r="A42" s="15">
        <f t="shared" si="6"/>
        <v>11500</v>
      </c>
      <c r="B42" s="15">
        <f t="shared" si="7"/>
        <v>5060</v>
      </c>
      <c r="C42" s="16">
        <f t="shared" si="5"/>
        <v>8.4615384615384617</v>
      </c>
      <c r="D42" s="25">
        <f t="shared" si="8"/>
        <v>8505</v>
      </c>
      <c r="E42" s="16">
        <f t="shared" si="9"/>
        <v>14.222408026755852</v>
      </c>
      <c r="F42" s="25">
        <f t="shared" si="10"/>
        <v>3445</v>
      </c>
    </row>
    <row r="43" spans="1:6" x14ac:dyDescent="0.25">
      <c r="A43" s="15">
        <f t="shared" si="6"/>
        <v>12150</v>
      </c>
      <c r="B43" s="15">
        <f t="shared" si="7"/>
        <v>5346</v>
      </c>
      <c r="C43" s="16">
        <f t="shared" si="5"/>
        <v>8.4615384615384617</v>
      </c>
      <c r="D43" s="25">
        <f t="shared" si="8"/>
        <v>9135.5</v>
      </c>
      <c r="E43" s="16">
        <f t="shared" si="9"/>
        <v>14.459480848369736</v>
      </c>
      <c r="F43" s="25">
        <f t="shared" si="10"/>
        <v>3789.5</v>
      </c>
    </row>
    <row r="44" spans="1:6" x14ac:dyDescent="0.25">
      <c r="A44" s="15">
        <f t="shared" si="6"/>
        <v>12800</v>
      </c>
      <c r="B44" s="15">
        <f t="shared" si="7"/>
        <v>5632</v>
      </c>
      <c r="C44" s="16">
        <f t="shared" si="5"/>
        <v>8.4615384615384617</v>
      </c>
      <c r="D44" s="25">
        <f t="shared" si="8"/>
        <v>9766</v>
      </c>
      <c r="E44" s="16">
        <f t="shared" si="9"/>
        <v>14.67247596153846</v>
      </c>
      <c r="F44" s="25">
        <f t="shared" si="10"/>
        <v>4134</v>
      </c>
    </row>
    <row r="45" spans="1:6" x14ac:dyDescent="0.25">
      <c r="A45" s="15">
        <f t="shared" si="6"/>
        <v>13450</v>
      </c>
      <c r="B45" s="15">
        <f t="shared" si="7"/>
        <v>5918</v>
      </c>
      <c r="C45" s="16">
        <f t="shared" si="5"/>
        <v>8.4615384615384617</v>
      </c>
      <c r="D45" s="25">
        <f t="shared" si="8"/>
        <v>10396.5</v>
      </c>
      <c r="E45" s="16">
        <f t="shared" si="9"/>
        <v>14.864884186445524</v>
      </c>
      <c r="F45" s="25">
        <f t="shared" si="10"/>
        <v>4478.5</v>
      </c>
    </row>
    <row r="46" spans="1:6" x14ac:dyDescent="0.25">
      <c r="A46" s="15">
        <f t="shared" si="6"/>
        <v>14100</v>
      </c>
      <c r="B46" s="15">
        <f t="shared" si="7"/>
        <v>6204</v>
      </c>
      <c r="C46" s="16">
        <f t="shared" si="5"/>
        <v>8.4615384615384617</v>
      </c>
      <c r="D46" s="25">
        <f t="shared" si="8"/>
        <v>11027</v>
      </c>
      <c r="E46" s="16">
        <f t="shared" si="9"/>
        <v>15.039552645935624</v>
      </c>
      <c r="F46" s="25">
        <f t="shared" si="10"/>
        <v>4823</v>
      </c>
    </row>
    <row r="47" spans="1:6" x14ac:dyDescent="0.25">
      <c r="A47" s="15">
        <f t="shared" si="6"/>
        <v>14750</v>
      </c>
      <c r="B47" s="15">
        <f t="shared" si="7"/>
        <v>6490</v>
      </c>
      <c r="C47" s="16">
        <f t="shared" si="5"/>
        <v>8.4615384615384617</v>
      </c>
      <c r="D47" s="25">
        <f t="shared" si="8"/>
        <v>11657.5</v>
      </c>
      <c r="E47" s="16">
        <f t="shared" si="9"/>
        <v>15.198826597131681</v>
      </c>
      <c r="F47" s="25">
        <f t="shared" si="10"/>
        <v>5167.5</v>
      </c>
    </row>
    <row r="48" spans="1:6" x14ac:dyDescent="0.25">
      <c r="A48" s="15">
        <f t="shared" si="6"/>
        <v>15400</v>
      </c>
      <c r="B48" s="15">
        <f t="shared" si="7"/>
        <v>6776</v>
      </c>
      <c r="C48" s="16">
        <f t="shared" si="5"/>
        <v>8.4615384615384617</v>
      </c>
      <c r="D48" s="25">
        <f t="shared" si="8"/>
        <v>12288</v>
      </c>
      <c r="E48" s="16">
        <f t="shared" si="9"/>
        <v>15.344655344655344</v>
      </c>
      <c r="F48" s="25">
        <f t="shared" si="10"/>
        <v>5512</v>
      </c>
    </row>
    <row r="49" spans="1:6" x14ac:dyDescent="0.25">
      <c r="A49" s="15">
        <f t="shared" si="6"/>
        <v>16050</v>
      </c>
      <c r="B49" s="15">
        <f t="shared" si="7"/>
        <v>7062</v>
      </c>
      <c r="C49" s="16">
        <f t="shared" si="5"/>
        <v>8.4615384615384617</v>
      </c>
      <c r="D49" s="25">
        <f t="shared" si="8"/>
        <v>12918.5</v>
      </c>
      <c r="E49" s="16">
        <f t="shared" si="9"/>
        <v>15.478672417924752</v>
      </c>
      <c r="F49" s="25">
        <f t="shared" si="10"/>
        <v>5856.5</v>
      </c>
    </row>
    <row r="50" spans="1:6" x14ac:dyDescent="0.25">
      <c r="A50" s="15">
        <f t="shared" si="6"/>
        <v>16700</v>
      </c>
      <c r="B50" s="15">
        <f t="shared" si="7"/>
        <v>7348</v>
      </c>
      <c r="C50" s="16">
        <f t="shared" si="5"/>
        <v>8.4615384615384617</v>
      </c>
      <c r="D50" s="25">
        <f t="shared" si="8"/>
        <v>13549</v>
      </c>
      <c r="E50" s="16">
        <f t="shared" si="9"/>
        <v>15.602257024412712</v>
      </c>
      <c r="F50" s="25">
        <f t="shared" si="10"/>
        <v>6201</v>
      </c>
    </row>
    <row r="51" spans="1:6" x14ac:dyDescent="0.25">
      <c r="A51" s="15">
        <f t="shared" si="6"/>
        <v>17350</v>
      </c>
      <c r="B51" s="15">
        <f t="shared" si="7"/>
        <v>7634</v>
      </c>
      <c r="C51" s="16">
        <f t="shared" si="5"/>
        <v>8.4615384615384617</v>
      </c>
      <c r="D51" s="25">
        <f t="shared" si="8"/>
        <v>14179.5</v>
      </c>
      <c r="E51" s="16">
        <f t="shared" si="9"/>
        <v>15.716581689204165</v>
      </c>
      <c r="F51" s="25">
        <f t="shared" si="10"/>
        <v>6545.5</v>
      </c>
    </row>
    <row r="52" spans="1:6" x14ac:dyDescent="0.25">
      <c r="A52" s="42">
        <f>B9</f>
        <v>18000</v>
      </c>
      <c r="B52" s="42">
        <f t="shared" si="7"/>
        <v>7920</v>
      </c>
      <c r="C52" s="56">
        <f t="shared" si="5"/>
        <v>8.4615384615384617</v>
      </c>
      <c r="D52" s="57">
        <f t="shared" si="8"/>
        <v>14810</v>
      </c>
      <c r="E52" s="56">
        <f t="shared" si="9"/>
        <v>15.822649572649572</v>
      </c>
      <c r="F52" s="57">
        <f t="shared" si="10"/>
        <v>6890</v>
      </c>
    </row>
    <row r="53" spans="1:6" x14ac:dyDescent="0.25">
      <c r="A53" s="15">
        <f t="shared" ref="A53:A61" si="11">A52+($A$62-$A$52)/(10)</f>
        <v>18200</v>
      </c>
      <c r="B53" s="15">
        <f t="shared" si="7"/>
        <v>8008</v>
      </c>
      <c r="C53" s="16">
        <f t="shared" si="5"/>
        <v>8.4615384615384617</v>
      </c>
      <c r="D53" s="25">
        <f t="shared" si="8"/>
        <v>15004</v>
      </c>
      <c r="E53" s="16">
        <f t="shared" si="9"/>
        <v>15.853761622992392</v>
      </c>
      <c r="F53" s="25">
        <f t="shared" si="10"/>
        <v>6996</v>
      </c>
    </row>
    <row r="54" spans="1:6" x14ac:dyDescent="0.25">
      <c r="A54" s="15">
        <f t="shared" si="11"/>
        <v>18400</v>
      </c>
      <c r="B54" s="15">
        <f t="shared" si="7"/>
        <v>8096</v>
      </c>
      <c r="C54" s="16">
        <f t="shared" si="5"/>
        <v>8.4615384615384617</v>
      </c>
      <c r="D54" s="25">
        <f t="shared" si="8"/>
        <v>15198</v>
      </c>
      <c r="E54" s="16">
        <f t="shared" si="9"/>
        <v>15.884197324414716</v>
      </c>
      <c r="F54" s="25">
        <f t="shared" si="10"/>
        <v>7102</v>
      </c>
    </row>
    <row r="55" spans="1:6" x14ac:dyDescent="0.25">
      <c r="A55" s="15">
        <f t="shared" si="11"/>
        <v>18600</v>
      </c>
      <c r="B55" s="15">
        <f t="shared" si="7"/>
        <v>8184</v>
      </c>
      <c r="C55" s="16">
        <f t="shared" si="5"/>
        <v>8.4615384615384617</v>
      </c>
      <c r="D55" s="25">
        <f t="shared" si="8"/>
        <v>15392</v>
      </c>
      <c r="E55" s="16">
        <f t="shared" si="9"/>
        <v>15.913978494623654</v>
      </c>
      <c r="F55" s="25">
        <f t="shared" si="10"/>
        <v>7208</v>
      </c>
    </row>
    <row r="56" spans="1:6" x14ac:dyDescent="0.25">
      <c r="A56" s="15">
        <f t="shared" si="11"/>
        <v>18800</v>
      </c>
      <c r="B56" s="15">
        <f t="shared" si="7"/>
        <v>8272</v>
      </c>
      <c r="C56" s="16">
        <f t="shared" si="5"/>
        <v>8.4615384615384617</v>
      </c>
      <c r="D56" s="25">
        <f t="shared" si="8"/>
        <v>15586</v>
      </c>
      <c r="E56" s="16">
        <f t="shared" si="9"/>
        <v>15.943126022913257</v>
      </c>
      <c r="F56" s="25">
        <f t="shared" si="10"/>
        <v>7314</v>
      </c>
    </row>
    <row r="57" spans="1:6" x14ac:dyDescent="0.25">
      <c r="A57" s="15">
        <f t="shared" si="11"/>
        <v>19000</v>
      </c>
      <c r="B57" s="15">
        <f t="shared" si="7"/>
        <v>8360</v>
      </c>
      <c r="C57" s="16">
        <f t="shared" si="5"/>
        <v>8.4615384615384617</v>
      </c>
      <c r="D57" s="25">
        <f t="shared" si="8"/>
        <v>15780</v>
      </c>
      <c r="E57" s="16">
        <f t="shared" si="9"/>
        <v>15.971659919028339</v>
      </c>
      <c r="F57" s="25">
        <f t="shared" si="10"/>
        <v>7420</v>
      </c>
    </row>
    <row r="58" spans="1:6" x14ac:dyDescent="0.25">
      <c r="A58" s="15">
        <f t="shared" si="11"/>
        <v>19200</v>
      </c>
      <c r="B58" s="15">
        <f t="shared" si="7"/>
        <v>8448</v>
      </c>
      <c r="C58" s="16">
        <f t="shared" si="5"/>
        <v>8.4615384615384617</v>
      </c>
      <c r="D58" s="25">
        <f t="shared" si="8"/>
        <v>15974</v>
      </c>
      <c r="E58" s="16">
        <f t="shared" si="9"/>
        <v>15.999599358974359</v>
      </c>
      <c r="F58" s="25">
        <f t="shared" si="10"/>
        <v>7526</v>
      </c>
    </row>
    <row r="59" spans="1:6" x14ac:dyDescent="0.25">
      <c r="A59" s="15">
        <f t="shared" si="11"/>
        <v>19400</v>
      </c>
      <c r="B59" s="15">
        <f t="shared" si="7"/>
        <v>8536</v>
      </c>
      <c r="C59" s="16">
        <f t="shared" si="5"/>
        <v>8.4615384615384617</v>
      </c>
      <c r="D59" s="25">
        <f t="shared" si="8"/>
        <v>16168</v>
      </c>
      <c r="E59" s="16">
        <f t="shared" si="9"/>
        <v>16.026962727993656</v>
      </c>
      <c r="F59" s="25">
        <f t="shared" si="10"/>
        <v>7632</v>
      </c>
    </row>
    <row r="60" spans="1:6" x14ac:dyDescent="0.25">
      <c r="A60" s="15">
        <f t="shared" si="11"/>
        <v>19600</v>
      </c>
      <c r="B60" s="15">
        <f t="shared" si="7"/>
        <v>8624</v>
      </c>
      <c r="C60" s="16">
        <f t="shared" si="5"/>
        <v>8.4615384615384617</v>
      </c>
      <c r="D60" s="25">
        <f t="shared" si="8"/>
        <v>16362</v>
      </c>
      <c r="E60" s="16">
        <f t="shared" si="9"/>
        <v>16.053767660910516</v>
      </c>
      <c r="F60" s="25">
        <f t="shared" si="10"/>
        <v>7738</v>
      </c>
    </row>
    <row r="61" spans="1:6" x14ac:dyDescent="0.25">
      <c r="A61" s="15">
        <f t="shared" si="11"/>
        <v>19800</v>
      </c>
      <c r="B61" s="15">
        <f t="shared" si="7"/>
        <v>8712</v>
      </c>
      <c r="C61" s="16">
        <f t="shared" si="5"/>
        <v>8.4615384615384617</v>
      </c>
      <c r="D61" s="25">
        <f t="shared" si="8"/>
        <v>16556</v>
      </c>
      <c r="E61" s="16">
        <f t="shared" si="9"/>
        <v>16.08003108003108</v>
      </c>
      <c r="F61" s="25">
        <f t="shared" si="10"/>
        <v>7844</v>
      </c>
    </row>
    <row r="62" spans="1:6" x14ac:dyDescent="0.25">
      <c r="A62" s="43">
        <f>B10</f>
        <v>20000</v>
      </c>
      <c r="B62" s="43">
        <f t="shared" si="7"/>
        <v>8800</v>
      </c>
      <c r="C62" s="52">
        <f t="shared" si="5"/>
        <v>8.4615384615384617</v>
      </c>
      <c r="D62" s="53">
        <f t="shared" si="8"/>
        <v>16750</v>
      </c>
      <c r="E62" s="52">
        <f t="shared" si="9"/>
        <v>16.10576923076923</v>
      </c>
      <c r="F62" s="53">
        <f t="shared" si="10"/>
        <v>7950</v>
      </c>
    </row>
  </sheetData>
  <mergeCells count="26">
    <mergeCell ref="H26:J26"/>
    <mergeCell ref="AH19:AH21"/>
    <mergeCell ref="AI23:AK23"/>
    <mergeCell ref="D3:E4"/>
    <mergeCell ref="I1:J3"/>
    <mergeCell ref="D7:E7"/>
    <mergeCell ref="A12:F12"/>
    <mergeCell ref="AI3:AJ3"/>
    <mergeCell ref="AG3:AH3"/>
    <mergeCell ref="AE10:AJ11"/>
    <mergeCell ref="AE3:AF3"/>
    <mergeCell ref="AE2:AJ2"/>
    <mergeCell ref="A3:B4"/>
    <mergeCell ref="A5:B5"/>
    <mergeCell ref="A2:B2"/>
    <mergeCell ref="A1:F1"/>
    <mergeCell ref="F3:F4"/>
    <mergeCell ref="A19:A20"/>
    <mergeCell ref="B19:C20"/>
    <mergeCell ref="D19:E20"/>
    <mergeCell ref="A18:F18"/>
    <mergeCell ref="A13:B13"/>
    <mergeCell ref="A14:B14"/>
    <mergeCell ref="A15:B15"/>
    <mergeCell ref="A16:B16"/>
    <mergeCell ref="F19:F20"/>
  </mergeCells>
  <dataValidations count="2">
    <dataValidation type="list" allowBlank="1" showInputMessage="1" showErrorMessage="1" sqref="C13" xr:uid="{00000000-0002-0000-0000-000000000000}">
      <formula1>gradients</formula1>
    </dataValidation>
    <dataValidation type="list" allowBlank="1" showInputMessage="1" showErrorMessage="1" sqref="F3:F4" xr:uid="{00000000-0002-0000-0000-000001000000}">
      <formula1>units</formula1>
    </dataValidation>
  </dataValidation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4"/>
  <sheetViews>
    <sheetView topLeftCell="G1" workbookViewId="0">
      <selection activeCell="R30" sqref="R30"/>
    </sheetView>
  </sheetViews>
  <sheetFormatPr defaultColWidth="8.85546875" defaultRowHeight="15" x14ac:dyDescent="0.25"/>
  <cols>
    <col min="1" max="1" width="16.7109375" style="21" customWidth="1"/>
    <col min="2" max="2" width="8.85546875" style="10"/>
    <col min="3" max="3" width="8.85546875" style="10" customWidth="1"/>
    <col min="4" max="4" width="8.85546875" style="21"/>
    <col min="5" max="5" width="8.85546875" style="10"/>
    <col min="6" max="6" width="9.42578125" style="10" bestFit="1" customWidth="1"/>
    <col min="7" max="7" width="9.42578125" style="10" customWidth="1"/>
    <col min="8" max="8" width="8.85546875" style="10"/>
    <col min="9" max="9" width="9.42578125" style="10" bestFit="1" customWidth="1"/>
    <col min="10" max="10" width="9.42578125" style="10" customWidth="1"/>
    <col min="11" max="11" width="8.85546875" style="10"/>
    <col min="12" max="12" width="9.42578125" style="10" bestFit="1" customWidth="1"/>
    <col min="13" max="15" width="8.85546875" style="10"/>
    <col min="16" max="16" width="9.28515625" style="10" bestFit="1" customWidth="1"/>
    <col min="17" max="17" width="8.28515625" style="21" bestFit="1" customWidth="1"/>
    <col min="18" max="16384" width="8.85546875" style="21"/>
  </cols>
  <sheetData>
    <row r="1" spans="1:24" ht="18.75" x14ac:dyDescent="0.3">
      <c r="A1" s="133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32"/>
      <c r="L1" s="32"/>
      <c r="M1" s="119" t="s">
        <v>15</v>
      </c>
      <c r="N1" s="120"/>
      <c r="O1" s="72"/>
      <c r="P1" s="73" t="s">
        <v>18</v>
      </c>
      <c r="Q1" s="74"/>
      <c r="R1" s="75"/>
      <c r="S1" s="76"/>
      <c r="T1" s="88" t="s">
        <v>54</v>
      </c>
      <c r="U1" s="77"/>
      <c r="V1" s="78"/>
      <c r="W1" s="83"/>
      <c r="X1" s="83"/>
    </row>
    <row r="2" spans="1:24" ht="16.5" customHeigh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21"/>
      <c r="N2" s="122"/>
      <c r="O2" s="82"/>
      <c r="P2" s="81" t="s">
        <v>14</v>
      </c>
      <c r="Q2" s="82"/>
      <c r="R2" s="82"/>
      <c r="S2" s="82"/>
      <c r="T2" s="87" t="s">
        <v>56</v>
      </c>
      <c r="U2" s="82"/>
      <c r="V2" s="84"/>
      <c r="W2" s="82"/>
      <c r="X2" s="82"/>
    </row>
    <row r="3" spans="1:24" x14ac:dyDescent="0.25">
      <c r="A3" s="137" t="s">
        <v>25</v>
      </c>
      <c r="B3" s="137"/>
      <c r="C3" s="137"/>
      <c r="D3" s="137"/>
      <c r="M3" s="121"/>
      <c r="N3" s="122"/>
      <c r="O3" s="82"/>
      <c r="P3" s="87" t="s">
        <v>55</v>
      </c>
      <c r="Q3" s="82"/>
      <c r="R3" s="82"/>
      <c r="S3" s="82"/>
      <c r="T3" s="87" t="s">
        <v>57</v>
      </c>
      <c r="U3" s="82"/>
      <c r="V3" s="84"/>
      <c r="W3" s="82"/>
      <c r="X3" s="82"/>
    </row>
    <row r="4" spans="1:24" x14ac:dyDescent="0.25">
      <c r="A4" s="31" t="s">
        <v>27</v>
      </c>
      <c r="B4" s="3" t="s">
        <v>10</v>
      </c>
      <c r="C4" s="18" t="str">
        <f>IF(B4="psi/ft","MPa/km",IF(B4="kg/m^3","psi/ft","psi/ft"))</f>
        <v>MPa/km</v>
      </c>
      <c r="D4" s="18" t="str">
        <f>IF(B4="psi/ft","kg/m^3",IF(B4="kg/m^3","MPa/km","kg/m^3"))</f>
        <v>kg/m^3</v>
      </c>
      <c r="M4" s="123"/>
      <c r="N4" s="124"/>
      <c r="O4" s="79"/>
      <c r="P4" s="79"/>
      <c r="Q4" s="79"/>
      <c r="R4" s="79"/>
      <c r="S4" s="79"/>
      <c r="T4" s="79"/>
      <c r="U4" s="79"/>
      <c r="V4" s="80"/>
      <c r="W4" s="82"/>
      <c r="X4" s="82"/>
    </row>
    <row r="5" spans="1:24" x14ac:dyDescent="0.25">
      <c r="A5" s="5" t="s">
        <v>23</v>
      </c>
      <c r="B5" s="44">
        <v>0.2</v>
      </c>
      <c r="C5" s="16">
        <f>IF($C$4="MPa/km",(B5*(0.00689475729/0.3048)*1000),IF($B$4="kg/m^3",((B5*0.3048)/(0.45359237*39.3700787^2)),(B5*(0.3048/0.00689475729)/1000)))</f>
        <v>4.524118956692913</v>
      </c>
      <c r="D5" s="16">
        <f>IF($B$4="psi/ft",((B5/0.3048)*(0.45359237)*(39.3700787^2)),IF($B$4="MPa/km",((C5/0.3048)*(0.45359237)*(39.3700787^2)),(C5*(0.00689475729/0.3048)*1000)))</f>
        <v>461.33174422893535</v>
      </c>
    </row>
    <row r="6" spans="1:24" x14ac:dyDescent="0.25">
      <c r="A6" s="6" t="s">
        <v>22</v>
      </c>
      <c r="B6" s="44">
        <v>0.3</v>
      </c>
      <c r="C6" s="16">
        <f t="shared" ref="C6:C7" si="0">IF($C$4="MPa/km",(B6*(0.00689475729/0.3048)*1000),IF($B$4="kg/m^3",((B6*0.3048)/(0.45359237*39.3700787^2)),(B6*(0.3048/0.00689475729)/1000)))</f>
        <v>6.7861784350393695</v>
      </c>
      <c r="D6" s="16">
        <f t="shared" ref="D6:D7" si="1">IF($B$4="psi/ft",((B6/0.3048)*(0.45359237)*(39.3700787^2)),IF($B$4="MPa/km",((C6/0.3048)*(0.45359237)*(39.3700787^2)),(C6*(0.00689475729/0.3048)*1000)))</f>
        <v>691.99761634340291</v>
      </c>
    </row>
    <row r="7" spans="1:24" x14ac:dyDescent="0.25">
      <c r="A7" s="7" t="s">
        <v>24</v>
      </c>
      <c r="B7" s="44">
        <v>0.44</v>
      </c>
      <c r="C7" s="16">
        <f t="shared" si="0"/>
        <v>9.9530617047244085</v>
      </c>
      <c r="D7" s="16">
        <f t="shared" si="1"/>
        <v>1014.9298373036576</v>
      </c>
    </row>
    <row r="8" spans="1:24" x14ac:dyDescent="0.25">
      <c r="A8" s="10"/>
      <c r="C8" s="14"/>
      <c r="D8" s="14"/>
    </row>
    <row r="9" spans="1:24" x14ac:dyDescent="0.25">
      <c r="A9" s="95" t="s">
        <v>17</v>
      </c>
      <c r="B9" s="138" t="s">
        <v>23</v>
      </c>
      <c r="C9" s="139"/>
      <c r="D9" s="140"/>
      <c r="E9" s="141" t="s">
        <v>22</v>
      </c>
      <c r="F9" s="142"/>
      <c r="G9" s="143"/>
      <c r="H9" s="144" t="s">
        <v>24</v>
      </c>
      <c r="I9" s="145"/>
      <c r="J9" s="146"/>
    </row>
    <row r="10" spans="1:24" x14ac:dyDescent="0.25">
      <c r="A10" s="58" t="str">
        <f>IF(Hydro_Litho_Pp!$F$3=Hydro_Litho_Pp!$AC$31,"meters","feet")</f>
        <v>feet</v>
      </c>
      <c r="B10" s="58" t="str">
        <f>IF(Hydro_Litho_Pp!F3=Hydro_Litho_Pp!$AC$31,"MPa","PSI")</f>
        <v>PSI</v>
      </c>
      <c r="C10" s="47" t="str">
        <f>IF(Hydro_Litho_Pp!F3=Hydro_Litho_Pp!$AC$31,"u* (mpa)","u* (psi)")</f>
        <v>u* (psi)</v>
      </c>
      <c r="D10" s="58" t="s">
        <v>26</v>
      </c>
      <c r="E10" s="58" t="str">
        <f>IF(Hydro_Litho_Pp!F3=Hydro_Litho_Pp!$AC$31,"MPa","PSI")</f>
        <v>PSI</v>
      </c>
      <c r="F10" s="47" t="str">
        <f>IF(Hydro_Litho_Pp!F3=Hydro_Litho_Pp!$AC$31,"u* (mpa)","u* (psi)")</f>
        <v>u* (psi)</v>
      </c>
      <c r="G10" s="58" t="s">
        <v>26</v>
      </c>
      <c r="H10" s="58" t="str">
        <f>IF(Hydro_Litho_Pp!F3=Hydro_Litho_Pp!$AC$31,"MPa","PSI")</f>
        <v>PSI</v>
      </c>
      <c r="I10" s="47" t="str">
        <f>IF(Hydro_Litho_Pp!F3=Hydro_Litho_Pp!$AC$31,"u* (mpa)","u* (psi)")</f>
        <v>u* (psi)</v>
      </c>
      <c r="J10" s="58" t="s">
        <v>26</v>
      </c>
    </row>
    <row r="11" spans="1:24" x14ac:dyDescent="0.25">
      <c r="A11" s="60">
        <f>Hydro_Litho_Pp!A32</f>
        <v>5000</v>
      </c>
      <c r="B11" s="60">
        <f>IF(Hydro_Litho_Pp!$F$3=Hydro_Litho_Pp!$AC$30,B12-((Wellbore_Pressure!A12-Wellbore_Pressure!A11)*INDEX(Wellbore_Pressure!$B$5:$D$5,MATCH("psi/ft",Wellbore_Pressure!$B$4:$D$4,0))),B12-(((A12-A11)/1000)*INDEX($B$5:$D$5,MATCH("Mpa/km",$B$4:$D$4,0))))</f>
        <v>9400</v>
      </c>
      <c r="C11" s="65">
        <f>B11-Hydro_Litho_Pp!B32</f>
        <v>7200</v>
      </c>
      <c r="D11" s="61">
        <f>IF(Hydro_Litho_Pp!$F$3=Hydro_Litho_Pp!$AC$30,(Wellbore_Pressure!B11/Wellbore_Pressure!A11)*(1/0.052),((Wellbore_Pressure!B11*0.3048)/(Wellbore_Pressure!A11*0.00689475729*0.052)))</f>
        <v>36.153846153846153</v>
      </c>
      <c r="E11" s="60">
        <f>IF(Hydro_Litho_Pp!$F$3=Hydro_Litho_Pp!$AC$30,E12-((Wellbore_Pressure!A12-Wellbore_Pressure!A11)*INDEX(Wellbore_Pressure!$B$6:$D$6,MATCH("psi/ft",Wellbore_Pressure!$B$4:$D$4,0))),E12-(((A12-A11)/1000)*INDEX($B$6:$D$6,MATCH("Mpa/km",$B$4:$D$4,0))))</f>
        <v>8100</v>
      </c>
      <c r="F11" s="60">
        <f>E11-Hydro_Litho_Pp!B32</f>
        <v>5900</v>
      </c>
      <c r="G11" s="61">
        <f>IF(Hydro_Litho_Pp!$F$3=Hydro_Litho_Pp!$AC$30,(E11/A11)*(1/0.052),((E11*0.3048)/(A11*0.00689475729*0.052)))</f>
        <v>31.153846153846153</v>
      </c>
      <c r="H11" s="60">
        <f>IF(Hydro_Litho_Pp!$F$3=Hydro_Litho_Pp!$AC$30,H12-((Wellbore_Pressure!A12-Wellbore_Pressure!A11)*INDEX(Wellbore_Pressure!$B$7:$D$7,MATCH("psi/ft",Wellbore_Pressure!$B$4:$D$4,0))),H12-(((A12-A11)/1000)*INDEX($B$7:$D$7,MATCH("Mpa/km",$B$4:$D$4,0))))</f>
        <v>6280</v>
      </c>
      <c r="I11" s="60">
        <f>H11-Hydro_Litho_Pp!B32</f>
        <v>4080</v>
      </c>
      <c r="J11" s="61">
        <f>IF(Hydro_Litho_Pp!$F$3=Hydro_Litho_Pp!$AC$30,(H11/A11)*(1/0.052),((H11*0.3048)/(A11*0.00689475729*0.052)))</f>
        <v>24.153846153846153</v>
      </c>
    </row>
    <row r="12" spans="1:24" x14ac:dyDescent="0.25">
      <c r="A12" s="47">
        <f>Hydro_Litho_Pp!A33</f>
        <v>5650</v>
      </c>
      <c r="B12" s="47">
        <f>IF(Hydro_Litho_Pp!$F$3=Hydro_Litho_Pp!$AC$30,B13-((Wellbore_Pressure!A13-Wellbore_Pressure!A12)*INDEX(Wellbore_Pressure!$B$5:$D$5,MATCH("psi/ft",Wellbore_Pressure!$B$4:$D$4,0))),B13-(((A13-A12)/1000)*INDEX($B$5:$D$5,MATCH("Mpa/km",$B$4:$D$4,0))))</f>
        <v>9530</v>
      </c>
      <c r="C12" s="66">
        <f>B12-Hydro_Litho_Pp!B33</f>
        <v>7044</v>
      </c>
      <c r="D12" s="59">
        <f>IF(Hydro_Litho_Pp!$F$3=Hydro_Litho_Pp!$AC$30,(Wellbore_Pressure!B12/Wellbore_Pressure!A12)*(1/0.052),((Wellbore_Pressure!B12*0.3048)/(Wellbore_Pressure!A12*0.00689475729*0.052)))</f>
        <v>32.437031994554118</v>
      </c>
      <c r="E12" s="47">
        <f>IF(Hydro_Litho_Pp!$F$3=Hydro_Litho_Pp!$AC$30,E13-((Wellbore_Pressure!A13-Wellbore_Pressure!A12)*INDEX(Wellbore_Pressure!$B$6:$D$6,MATCH("psi/ft",Wellbore_Pressure!$B$4:$D$4,0))),E13-(((A13-A12)/1000)*INDEX($B$6:$D$6,MATCH("Mpa/km",$B$4:$D$4,0))))</f>
        <v>8295</v>
      </c>
      <c r="F12" s="47">
        <f>E12-Hydro_Litho_Pp!B33</f>
        <v>5809</v>
      </c>
      <c r="G12" s="59">
        <f>IF(Hydro_Litho_Pp!$F$3=Hydro_Litho_Pp!$AC$30,(E12/A12)*(1/0.052),((E12*0.3048)/(A12*0.00689475729*0.052)))</f>
        <v>28.233492171545269</v>
      </c>
      <c r="H12" s="47">
        <f>IF(Hydro_Litho_Pp!$F$3=Hydro_Litho_Pp!$AC$30,H13-((Wellbore_Pressure!A13-Wellbore_Pressure!A12)*INDEX(Wellbore_Pressure!$B$7:$D$7,MATCH("psi/ft",Wellbore_Pressure!$B$4:$D$4,0))),H13-(((A13-A12)/1000)*INDEX($B$7:$D$7,MATCH("Mpa/km",$B$4:$D$4,0))))</f>
        <v>6566</v>
      </c>
      <c r="I12" s="47">
        <f>H12-Hydro_Litho_Pp!B33</f>
        <v>4080</v>
      </c>
      <c r="J12" s="59">
        <f>IF(Hydro_Litho_Pp!$F$3=Hydro_Litho_Pp!$AC$30,(H12/A12)*(1/0.052),((H12*0.3048)/(A12*0.00689475729*0.052)))</f>
        <v>22.348536419332881</v>
      </c>
    </row>
    <row r="13" spans="1:24" x14ac:dyDescent="0.25">
      <c r="A13" s="47">
        <f>Hydro_Litho_Pp!A34</f>
        <v>6300</v>
      </c>
      <c r="B13" s="47">
        <f>IF(Hydro_Litho_Pp!$F$3=Hydro_Litho_Pp!$AC$30,B14-((Wellbore_Pressure!A14-Wellbore_Pressure!A13)*INDEX(Wellbore_Pressure!$B$5:$D$5,MATCH("psi/ft",Wellbore_Pressure!$B$4:$D$4,0))),B14-(((A14-A13)/1000)*INDEX($B$5:$D$5,MATCH("Mpa/km",$B$4:$D$4,0))))</f>
        <v>9660</v>
      </c>
      <c r="C13" s="66">
        <f>B13-Hydro_Litho_Pp!B34</f>
        <v>6888</v>
      </c>
      <c r="D13" s="59">
        <f>IF(Hydro_Litho_Pp!$F$3=Hydro_Litho_Pp!$AC$30,(Wellbore_Pressure!B13/Wellbore_Pressure!A13)*(1/0.052),((Wellbore_Pressure!B13*0.3048)/(Wellbore_Pressure!A13*0.00689475729*0.052)))</f>
        <v>29.487179487179489</v>
      </c>
      <c r="E13" s="47">
        <f>IF(Hydro_Litho_Pp!$F$3=Hydro_Litho_Pp!$AC$30,E14-((Wellbore_Pressure!A14-Wellbore_Pressure!A13)*INDEX(Wellbore_Pressure!$B$6:$D$6,MATCH("psi/ft",Wellbore_Pressure!$B$4:$D$4,0))),E14-(((A14-A13)/1000)*INDEX($B$6:$D$6,MATCH("Mpa/km",$B$4:$D$4,0))))</f>
        <v>8490</v>
      </c>
      <c r="F13" s="47">
        <f>E13-Hydro_Litho_Pp!B34</f>
        <v>5718</v>
      </c>
      <c r="G13" s="59">
        <f>IF(Hydro_Litho_Pp!$F$3=Hydro_Litho_Pp!$AC$30,(E13/A13)*(1/0.052),((E13*0.3048)/(A13*0.00689475729*0.052)))</f>
        <v>25.915750915750916</v>
      </c>
      <c r="H13" s="47">
        <f>IF(Hydro_Litho_Pp!$F$3=Hydro_Litho_Pp!$AC$30,H14-((Wellbore_Pressure!A14-Wellbore_Pressure!A13)*INDEX(Wellbore_Pressure!$B$7:$D$7,MATCH("psi/ft",Wellbore_Pressure!$B$4:$D$4,0))),H14-(((A14-A13)/1000)*INDEX($B$7:$D$7,MATCH("Mpa/km",$B$4:$D$4,0))))</f>
        <v>6852</v>
      </c>
      <c r="I13" s="47">
        <f>H13-Hydro_Litho_Pp!B34</f>
        <v>4080</v>
      </c>
      <c r="J13" s="59">
        <f>IF(Hydro_Litho_Pp!$F$3=Hydro_Litho_Pp!$AC$30,(H13/A13)*(1/0.052),((H13*0.3048)/(A13*0.00689475729*0.052)))</f>
        <v>20.915750915750916</v>
      </c>
    </row>
    <row r="14" spans="1:24" x14ac:dyDescent="0.25">
      <c r="A14" s="47">
        <f>Hydro_Litho_Pp!A35</f>
        <v>6950</v>
      </c>
      <c r="B14" s="47">
        <f>IF(Hydro_Litho_Pp!$F$3=Hydro_Litho_Pp!$AC$30,B15-((Wellbore_Pressure!A15-Wellbore_Pressure!A14)*INDEX(Wellbore_Pressure!$B$5:$D$5,MATCH("psi/ft",Wellbore_Pressure!$B$4:$D$4,0))),B15-(((A15-A14)/1000)*INDEX($B$5:$D$5,MATCH("Mpa/km",$B$4:$D$4,0))))</f>
        <v>9790</v>
      </c>
      <c r="C14" s="66">
        <f>B14-Hydro_Litho_Pp!B35</f>
        <v>6732</v>
      </c>
      <c r="D14" s="59">
        <f>IF(Hydro_Litho_Pp!$F$3=Hydro_Litho_Pp!$AC$30,(Wellbore_Pressure!B14/Wellbore_Pressure!A14)*(1/0.052),((Wellbore_Pressure!B14*0.3048)/(Wellbore_Pressure!A14*0.00689475729*0.052)))</f>
        <v>27.089097952407304</v>
      </c>
      <c r="E14" s="47">
        <f>IF(Hydro_Litho_Pp!$F$3=Hydro_Litho_Pp!$AC$30,E15-((Wellbore_Pressure!A15-Wellbore_Pressure!A14)*INDEX(Wellbore_Pressure!$B$6:$D$6,MATCH("psi/ft",Wellbore_Pressure!$B$4:$D$4,0))),E15-(((A15-A14)/1000)*INDEX($B$6:$D$6,MATCH("Mpa/km",$B$4:$D$4,0))))</f>
        <v>8685</v>
      </c>
      <c r="F14" s="47">
        <f>E14-Hydro_Litho_Pp!B35</f>
        <v>5627</v>
      </c>
      <c r="G14" s="59">
        <f>IF(Hydro_Litho_Pp!$F$3=Hydro_Litho_Pp!$AC$30,(E14/A14)*(1/0.052),((E14*0.3048)/(A14*0.00689475729*0.052)))</f>
        <v>24.031543995572768</v>
      </c>
      <c r="H14" s="47">
        <f>IF(Hydro_Litho_Pp!$F$3=Hydro_Litho_Pp!$AC$30,H15-((Wellbore_Pressure!A15-Wellbore_Pressure!A14)*INDEX(Wellbore_Pressure!$B$7:$D$7,MATCH("psi/ft",Wellbore_Pressure!$B$4:$D$4,0))),H15-(((A15-A14)/1000)*INDEX($B$7:$D$7,MATCH("Mpa/km",$B$4:$D$4,0))))</f>
        <v>7138</v>
      </c>
      <c r="I14" s="47">
        <f>H14-Hydro_Litho_Pp!B35</f>
        <v>4080</v>
      </c>
      <c r="J14" s="59">
        <f>IF(Hydro_Litho_Pp!$F$3=Hydro_Litho_Pp!$AC$30,(H14/A14)*(1/0.052),((H14*0.3048)/(A14*0.00689475729*0.052)))</f>
        <v>19.750968456004426</v>
      </c>
    </row>
    <row r="15" spans="1:24" x14ac:dyDescent="0.25">
      <c r="A15" s="47">
        <f>Hydro_Litho_Pp!A36</f>
        <v>7600</v>
      </c>
      <c r="B15" s="47">
        <f>IF(Hydro_Litho_Pp!$F$3=Hydro_Litho_Pp!$AC$30,B16-((Wellbore_Pressure!A16-Wellbore_Pressure!A15)*INDEX(Wellbore_Pressure!$B$5:$D$5,MATCH("psi/ft",Wellbore_Pressure!$B$4:$D$4,0))),B16-(((A16-A15)/1000)*INDEX($B$5:$D$5,MATCH("Mpa/km",$B$4:$D$4,0))))</f>
        <v>9920</v>
      </c>
      <c r="C15" s="66">
        <f>B15-Hydro_Litho_Pp!B36</f>
        <v>6576</v>
      </c>
      <c r="D15" s="59">
        <f>IF(Hydro_Litho_Pp!$F$3=Hydro_Litho_Pp!$AC$30,(Wellbore_Pressure!B15/Wellbore_Pressure!A15)*(1/0.052),((Wellbore_Pressure!B15*0.3048)/(Wellbore_Pressure!A15*0.00689475729*0.052)))</f>
        <v>25.101214574898787</v>
      </c>
      <c r="E15" s="47">
        <f>IF(Hydro_Litho_Pp!$F$3=Hydro_Litho_Pp!$AC$30,E16-((Wellbore_Pressure!A16-Wellbore_Pressure!A15)*INDEX(Wellbore_Pressure!$B$6:$D$6,MATCH("psi/ft",Wellbore_Pressure!$B$4:$D$4,0))),E16-(((A16-A15)/1000)*INDEX($B$6:$D$6,MATCH("Mpa/km",$B$4:$D$4,0))))</f>
        <v>8880</v>
      </c>
      <c r="F15" s="47">
        <f>E15-Hydro_Litho_Pp!B36</f>
        <v>5536</v>
      </c>
      <c r="G15" s="59">
        <f>IF(Hydro_Litho_Pp!$F$3=Hydro_Litho_Pp!$AC$30,(E15/A15)*(1/0.052),((E15*0.3048)/(A15*0.00689475729*0.052)))</f>
        <v>22.469635627530366</v>
      </c>
      <c r="H15" s="47">
        <f>IF(Hydro_Litho_Pp!$F$3=Hydro_Litho_Pp!$AC$30,H16-((Wellbore_Pressure!A16-Wellbore_Pressure!A15)*INDEX(Wellbore_Pressure!$B$7:$D$7,MATCH("psi/ft",Wellbore_Pressure!$B$4:$D$4,0))),H16-(((A16-A15)/1000)*INDEX($B$7:$D$7,MATCH("Mpa/km",$B$4:$D$4,0))))</f>
        <v>7424</v>
      </c>
      <c r="I15" s="47">
        <f>H15-Hydro_Litho_Pp!B36</f>
        <v>4080</v>
      </c>
      <c r="J15" s="59">
        <f>IF(Hydro_Litho_Pp!$F$3=Hydro_Litho_Pp!$AC$30,(H15/A15)*(1/0.052),((H15*0.3048)/(A15*0.00689475729*0.052)))</f>
        <v>18.785425101214575</v>
      </c>
    </row>
    <row r="16" spans="1:24" x14ac:dyDescent="0.25">
      <c r="A16" s="47">
        <f>Hydro_Litho_Pp!A37</f>
        <v>8250</v>
      </c>
      <c r="B16" s="47">
        <f>IF(Hydro_Litho_Pp!$F$3=Hydro_Litho_Pp!$AC$30,B17-((Wellbore_Pressure!A17-Wellbore_Pressure!A16)*INDEX(Wellbore_Pressure!$B$5:$D$5,MATCH("psi/ft",Wellbore_Pressure!$B$4:$D$4,0))),B17-(((A17-A16)/1000)*INDEX($B$5:$D$5,MATCH("Mpa/km",$B$4:$D$4,0))))</f>
        <v>10050</v>
      </c>
      <c r="C16" s="66">
        <f>B16-Hydro_Litho_Pp!B37</f>
        <v>6420</v>
      </c>
      <c r="D16" s="59">
        <f>IF(Hydro_Litho_Pp!$F$3=Hydro_Litho_Pp!$AC$30,(Wellbore_Pressure!B16/Wellbore_Pressure!A16)*(1/0.052),((Wellbore_Pressure!B16*0.3048)/(Wellbore_Pressure!A16*0.00689475729*0.052)))</f>
        <v>23.426573426573427</v>
      </c>
      <c r="E16" s="47">
        <f>IF(Hydro_Litho_Pp!$F$3=Hydro_Litho_Pp!$AC$30,E17-((Wellbore_Pressure!A17-Wellbore_Pressure!A16)*INDEX(Wellbore_Pressure!$B$6:$D$6,MATCH("psi/ft",Wellbore_Pressure!$B$4:$D$4,0))),E17-(((A17-A16)/1000)*INDEX($B$6:$D$6,MATCH("Mpa/km",$B$4:$D$4,0))))</f>
        <v>9075</v>
      </c>
      <c r="F16" s="47">
        <f>E16-Hydro_Litho_Pp!B37</f>
        <v>5445</v>
      </c>
      <c r="G16" s="59">
        <f>IF(Hydro_Litho_Pp!$F$3=Hydro_Litho_Pp!$AC$30,(E16/A16)*(1/0.052),((E16*0.3048)/(A16*0.00689475729*0.052)))</f>
        <v>21.153846153846153</v>
      </c>
      <c r="H16" s="47">
        <f>IF(Hydro_Litho_Pp!$F$3=Hydro_Litho_Pp!$AC$30,H17-((Wellbore_Pressure!A17-Wellbore_Pressure!A16)*INDEX(Wellbore_Pressure!$B$7:$D$7,MATCH("psi/ft",Wellbore_Pressure!$B$4:$D$4,0))),H17-(((A17-A16)/1000)*INDEX($B$7:$D$7,MATCH("Mpa/km",$B$4:$D$4,0))))</f>
        <v>7710</v>
      </c>
      <c r="I16" s="47">
        <f>H16-Hydro_Litho_Pp!B37</f>
        <v>4080</v>
      </c>
      <c r="J16" s="59">
        <f>IF(Hydro_Litho_Pp!$F$3=Hydro_Litho_Pp!$AC$30,(H16/A16)*(1/0.052),((H16*0.3048)/(A16*0.00689475729*0.052)))</f>
        <v>17.972027972027973</v>
      </c>
    </row>
    <row r="17" spans="1:15" x14ac:dyDescent="0.25">
      <c r="A17" s="47">
        <f>Hydro_Litho_Pp!A38</f>
        <v>8900</v>
      </c>
      <c r="B17" s="47">
        <f>IF(Hydro_Litho_Pp!$F$3=Hydro_Litho_Pp!$AC$30,B18-((Wellbore_Pressure!A18-Wellbore_Pressure!A17)*INDEX(Wellbore_Pressure!$B$5:$D$5,MATCH("psi/ft",Wellbore_Pressure!$B$4:$D$4,0))),B18-(((A18-A17)/1000)*INDEX($B$5:$D$5,MATCH("Mpa/km",$B$4:$D$4,0))))</f>
        <v>10180</v>
      </c>
      <c r="C17" s="66">
        <f>B17-Hydro_Litho_Pp!B38</f>
        <v>6264</v>
      </c>
      <c r="D17" s="59">
        <f>IF(Hydro_Litho_Pp!$F$3=Hydro_Litho_Pp!$AC$30,(Wellbore_Pressure!B17/Wellbore_Pressure!A17)*(1/0.052),((Wellbore_Pressure!B17*0.3048)/(Wellbore_Pressure!A17*0.00689475729*0.052)))</f>
        <v>21.996542783059638</v>
      </c>
      <c r="E17" s="47">
        <f>IF(Hydro_Litho_Pp!$F$3=Hydro_Litho_Pp!$AC$30,E18-((Wellbore_Pressure!A18-Wellbore_Pressure!A17)*INDEX(Wellbore_Pressure!$B$6:$D$6,MATCH("psi/ft",Wellbore_Pressure!$B$4:$D$4,0))),E18-(((A18-A17)/1000)*INDEX($B$6:$D$6,MATCH("Mpa/km",$B$4:$D$4,0))))</f>
        <v>9270</v>
      </c>
      <c r="F17" s="47">
        <f>E17-Hydro_Litho_Pp!B38</f>
        <v>5354</v>
      </c>
      <c r="G17" s="59">
        <f>IF(Hydro_Litho_Pp!$F$3=Hydro_Litho_Pp!$AC$30,(E17/A17)*(1/0.052),((E17*0.3048)/(A17*0.00689475729*0.052)))</f>
        <v>20.030250648228176</v>
      </c>
      <c r="H17" s="47">
        <f>IF(Hydro_Litho_Pp!$F$3=Hydro_Litho_Pp!$AC$30,H18-((Wellbore_Pressure!A18-Wellbore_Pressure!A17)*INDEX(Wellbore_Pressure!$B$7:$D$7,MATCH("psi/ft",Wellbore_Pressure!$B$4:$D$4,0))),H18-(((A18-A17)/1000)*INDEX($B$7:$D$7,MATCH("Mpa/km",$B$4:$D$4,0))))</f>
        <v>7996</v>
      </c>
      <c r="I17" s="47">
        <f>H17-Hydro_Litho_Pp!B38</f>
        <v>4080</v>
      </c>
      <c r="J17" s="59">
        <f>IF(Hydro_Litho_Pp!$F$3=Hydro_Litho_Pp!$AC$30,(H17/A17)*(1/0.052),((H17*0.3048)/(A17*0.00689475729*0.052)))</f>
        <v>17.277441659464131</v>
      </c>
    </row>
    <row r="18" spans="1:15" x14ac:dyDescent="0.25">
      <c r="A18" s="47">
        <f>Hydro_Litho_Pp!A39</f>
        <v>9550</v>
      </c>
      <c r="B18" s="47">
        <f>IF(Hydro_Litho_Pp!$F$3=Hydro_Litho_Pp!$AC$30,B19-((Wellbore_Pressure!A19-Wellbore_Pressure!A18)*INDEX(Wellbore_Pressure!$B$5:$D$5,MATCH("psi/ft",Wellbore_Pressure!$B$4:$D$4,0))),B19-(((A19-A18)/1000)*INDEX($B$5:$D$5,MATCH("Mpa/km",$B$4:$D$4,0))))</f>
        <v>10310</v>
      </c>
      <c r="C18" s="66">
        <f>B18-Hydro_Litho_Pp!B39</f>
        <v>6108</v>
      </c>
      <c r="D18" s="59">
        <f>IF(Hydro_Litho_Pp!$F$3=Hydro_Litho_Pp!$AC$30,(Wellbore_Pressure!B18/Wellbore_Pressure!A18)*(1/0.052),((Wellbore_Pressure!B18*0.3048)/(Wellbore_Pressure!A18*0.00689475729*0.052)))</f>
        <v>20.761175996778089</v>
      </c>
      <c r="E18" s="47">
        <f>IF(Hydro_Litho_Pp!$F$3=Hydro_Litho_Pp!$AC$30,E19-((Wellbore_Pressure!A19-Wellbore_Pressure!A18)*INDEX(Wellbore_Pressure!$B$6:$D$6,MATCH("psi/ft",Wellbore_Pressure!$B$4:$D$4,0))),E19-(((A19-A18)/1000)*INDEX($B$6:$D$6,MATCH("Mpa/km",$B$4:$D$4,0))))</f>
        <v>9465</v>
      </c>
      <c r="F18" s="47">
        <f>E18-Hydro_Litho_Pp!B39</f>
        <v>5263</v>
      </c>
      <c r="G18" s="59">
        <f>IF(Hydro_Litho_Pp!$F$3=Hydro_Litho_Pp!$AC$30,(E18/A18)*(1/0.052),((E18*0.3048)/(A18*0.00689475729*0.052)))</f>
        <v>19.059605316149817</v>
      </c>
      <c r="H18" s="47">
        <f>IF(Hydro_Litho_Pp!$F$3=Hydro_Litho_Pp!$AC$30,H19-((Wellbore_Pressure!A19-Wellbore_Pressure!A18)*INDEX(Wellbore_Pressure!$B$7:$D$7,MATCH("psi/ft",Wellbore_Pressure!$B$4:$D$4,0))),H19-(((A19-A18)/1000)*INDEX($B$7:$D$7,MATCH("Mpa/km",$B$4:$D$4,0))))</f>
        <v>8282</v>
      </c>
      <c r="I18" s="47">
        <f>H18-Hydro_Litho_Pp!B39</f>
        <v>4080</v>
      </c>
      <c r="J18" s="59">
        <f>IF(Hydro_Litho_Pp!$F$3=Hydro_Litho_Pp!$AC$30,(H18/A18)*(1/0.052),((H18*0.3048)/(A18*0.00689475729*0.052)))</f>
        <v>16.677406363270237</v>
      </c>
    </row>
    <row r="19" spans="1:15" x14ac:dyDescent="0.25">
      <c r="A19" s="47">
        <f>Hydro_Litho_Pp!A40</f>
        <v>10200</v>
      </c>
      <c r="B19" s="47">
        <f>IF(Hydro_Litho_Pp!$F$3=Hydro_Litho_Pp!$AC$30,B20-((Wellbore_Pressure!A20-Wellbore_Pressure!A19)*INDEX(Wellbore_Pressure!$B$5:$D$5,MATCH("psi/ft",Wellbore_Pressure!$B$4:$D$4,0))),B20-(((A20-A19)/1000)*INDEX($B$5:$D$5,MATCH("Mpa/km",$B$4:$D$4,0))))</f>
        <v>10440</v>
      </c>
      <c r="C19" s="66">
        <f>B19-Hydro_Litho_Pp!B40</f>
        <v>5952</v>
      </c>
      <c r="D19" s="59">
        <f>IF(Hydro_Litho_Pp!$F$3=Hydro_Litho_Pp!$AC$30,(Wellbore_Pressure!B19/Wellbore_Pressure!A19)*(1/0.052),((Wellbore_Pressure!B19*0.3048)/(Wellbore_Pressure!A19*0.00689475729*0.052)))</f>
        <v>19.683257918552034</v>
      </c>
      <c r="E19" s="47">
        <f>IF(Hydro_Litho_Pp!$F$3=Hydro_Litho_Pp!$AC$30,E20-((Wellbore_Pressure!A20-Wellbore_Pressure!A19)*INDEX(Wellbore_Pressure!$B$6:$D$6,MATCH("psi/ft",Wellbore_Pressure!$B$4:$D$4,0))),E20-(((A20-A19)/1000)*INDEX($B$6:$D$6,MATCH("Mpa/km",$B$4:$D$4,0))))</f>
        <v>9660</v>
      </c>
      <c r="F19" s="47">
        <f>E19-Hydro_Litho_Pp!B40</f>
        <v>5172</v>
      </c>
      <c r="G19" s="59">
        <f>IF(Hydro_Litho_Pp!$F$3=Hydro_Litho_Pp!$AC$30,(E19/A19)*(1/0.052),((E19*0.3048)/(A19*0.00689475729*0.052)))</f>
        <v>18.212669683257918</v>
      </c>
      <c r="H19" s="47">
        <f>IF(Hydro_Litho_Pp!$F$3=Hydro_Litho_Pp!$AC$30,H20-((Wellbore_Pressure!A20-Wellbore_Pressure!A19)*INDEX(Wellbore_Pressure!$B$7:$D$7,MATCH("psi/ft",Wellbore_Pressure!$B$4:$D$4,0))),H20-(((A20-A19)/1000)*INDEX($B$7:$D$7,MATCH("Mpa/km",$B$4:$D$4,0))))</f>
        <v>8568</v>
      </c>
      <c r="I19" s="47">
        <f>H19-Hydro_Litho_Pp!B40</f>
        <v>4080</v>
      </c>
      <c r="J19" s="59">
        <f>IF(Hydro_Litho_Pp!$F$3=Hydro_Litho_Pp!$AC$30,(H19/A19)*(1/0.052),((H19*0.3048)/(A19*0.00689475729*0.052)))</f>
        <v>16.153846153846153</v>
      </c>
    </row>
    <row r="20" spans="1:15" x14ac:dyDescent="0.25">
      <c r="A20" s="47">
        <f>Hydro_Litho_Pp!A41</f>
        <v>10850</v>
      </c>
      <c r="B20" s="47">
        <f>IF(Hydro_Litho_Pp!$F$3=Hydro_Litho_Pp!$AC$30,B21-((Wellbore_Pressure!A21-Wellbore_Pressure!A20)*INDEX(Wellbore_Pressure!$B$5:$D$5,MATCH("psi/ft",Wellbore_Pressure!$B$4:$D$4,0))),B21-(((A21-A20)/1000)*INDEX($B$5:$D$5,MATCH("Mpa/km",$B$4:$D$4,0))))</f>
        <v>10570</v>
      </c>
      <c r="C20" s="66">
        <f>B20-Hydro_Litho_Pp!B41</f>
        <v>5796</v>
      </c>
      <c r="D20" s="59">
        <f>IF(Hydro_Litho_Pp!$F$3=Hydro_Litho_Pp!$AC$30,(Wellbore_Pressure!B20/Wellbore_Pressure!A20)*(1/0.052),((Wellbore_Pressure!B20*0.3048)/(Wellbore_Pressure!A20*0.00689475729*0.052)))</f>
        <v>18.734491315136477</v>
      </c>
      <c r="E20" s="47">
        <f>IF(Hydro_Litho_Pp!$F$3=Hydro_Litho_Pp!$AC$30,E21-((Wellbore_Pressure!A21-Wellbore_Pressure!A20)*INDEX(Wellbore_Pressure!$B$6:$D$6,MATCH("psi/ft",Wellbore_Pressure!$B$4:$D$4,0))),E21-(((A21-A20)/1000)*INDEX($B$6:$D$6,MATCH("Mpa/km",$B$4:$D$4,0))))</f>
        <v>9855</v>
      </c>
      <c r="F20" s="47">
        <f>E20-Hydro_Litho_Pp!B41</f>
        <v>5081</v>
      </c>
      <c r="G20" s="59">
        <f>IF(Hydro_Litho_Pp!$F$3=Hydro_Litho_Pp!$AC$30,(E20/A20)*(1/0.052),((E20*0.3048)/(A20*0.00689475729*0.052)))</f>
        <v>17.467210209145691</v>
      </c>
      <c r="H20" s="47">
        <f>IF(Hydro_Litho_Pp!$F$3=Hydro_Litho_Pp!$AC$30,H21-((Wellbore_Pressure!A21-Wellbore_Pressure!A20)*INDEX(Wellbore_Pressure!$B$7:$D$7,MATCH("psi/ft",Wellbore_Pressure!$B$4:$D$4,0))),H21-(((A21-A20)/1000)*INDEX($B$7:$D$7,MATCH("Mpa/km",$B$4:$D$4,0))))</f>
        <v>8854</v>
      </c>
      <c r="I20" s="47">
        <f>H20-Hydro_Litho_Pp!B41</f>
        <v>4080</v>
      </c>
      <c r="J20" s="59">
        <f>IF(Hydro_Litho_Pp!$F$3=Hydro_Litho_Pp!$AC$30,(H20/A20)*(1/0.052),((H20*0.3048)/(A20*0.00689475729*0.052)))</f>
        <v>15.693016660758596</v>
      </c>
    </row>
    <row r="21" spans="1:15" x14ac:dyDescent="0.25">
      <c r="A21" s="47">
        <f>Hydro_Litho_Pp!A42</f>
        <v>11500</v>
      </c>
      <c r="B21" s="47">
        <f>IF(Hydro_Litho_Pp!$F$3=Hydro_Litho_Pp!$AC$30,B22-((Wellbore_Pressure!A22-Wellbore_Pressure!A21)*INDEX(Wellbore_Pressure!$B$5:$D$5,MATCH("psi/ft",Wellbore_Pressure!$B$4:$D$4,0))),B22-(((A22-A21)/1000)*INDEX($B$5:$D$5,MATCH("Mpa/km",$B$4:$D$4,0))))</f>
        <v>10700</v>
      </c>
      <c r="C21" s="66">
        <f>B21-Hydro_Litho_Pp!B42</f>
        <v>5640</v>
      </c>
      <c r="D21" s="59">
        <f>IF(Hydro_Litho_Pp!$F$3=Hydro_Litho_Pp!$AC$30,(Wellbore_Pressure!B21/Wellbore_Pressure!A21)*(1/0.052),((Wellbore_Pressure!B21*0.3048)/(Wellbore_Pressure!A21*0.00689475729*0.052)))</f>
        <v>17.892976588628763</v>
      </c>
      <c r="E21" s="47">
        <f>IF(Hydro_Litho_Pp!$F$3=Hydro_Litho_Pp!$AC$30,E22-((Wellbore_Pressure!A22-Wellbore_Pressure!A21)*INDEX(Wellbore_Pressure!$B$6:$D$6,MATCH("psi/ft",Wellbore_Pressure!$B$4:$D$4,0))),E22-(((A22-A21)/1000)*INDEX($B$6:$D$6,MATCH("Mpa/km",$B$4:$D$4,0))))</f>
        <v>10050</v>
      </c>
      <c r="F21" s="47">
        <f>E21-Hydro_Litho_Pp!B42</f>
        <v>4990</v>
      </c>
      <c r="G21" s="59">
        <f>IF(Hydro_Litho_Pp!$F$3=Hydro_Litho_Pp!$AC$30,(E21/A21)*(1/0.052),((E21*0.3048)/(A21*0.00689475729*0.052)))</f>
        <v>16.80602006688963</v>
      </c>
      <c r="H21" s="47">
        <f>IF(Hydro_Litho_Pp!$F$3=Hydro_Litho_Pp!$AC$30,H22-((Wellbore_Pressure!A22-Wellbore_Pressure!A21)*INDEX(Wellbore_Pressure!$B$7:$D$7,MATCH("psi/ft",Wellbore_Pressure!$B$4:$D$4,0))),H22-(((A22-A21)/1000)*INDEX($B$7:$D$7,MATCH("Mpa/km",$B$4:$D$4,0))))</f>
        <v>9140</v>
      </c>
      <c r="I21" s="47">
        <f>H21-Hydro_Litho_Pp!B42</f>
        <v>4080</v>
      </c>
      <c r="J21" s="59">
        <f>IF(Hydro_Litho_Pp!$F$3=Hydro_Litho_Pp!$AC$30,(H21/A21)*(1/0.052),((H21*0.3048)/(A21*0.00689475729*0.052)))</f>
        <v>15.284280936454849</v>
      </c>
    </row>
    <row r="22" spans="1:15" x14ac:dyDescent="0.25">
      <c r="A22" s="47">
        <f>Hydro_Litho_Pp!A43</f>
        <v>12150</v>
      </c>
      <c r="B22" s="47">
        <f>IF(Hydro_Litho_Pp!$F$3=Hydro_Litho_Pp!$AC$30,B23-((Wellbore_Pressure!A23-Wellbore_Pressure!A22)*INDEX(Wellbore_Pressure!$B$5:$D$5,MATCH("psi/ft",Wellbore_Pressure!$B$4:$D$4,0))),B23-(((A23-A22)/1000)*INDEX($B$5:$D$5,MATCH("Mpa/km",$B$4:$D$4,0))))</f>
        <v>10830</v>
      </c>
      <c r="C22" s="66">
        <f>B22-Hydro_Litho_Pp!B43</f>
        <v>5484</v>
      </c>
      <c r="D22" s="59">
        <f>IF(Hydro_Litho_Pp!$F$3=Hydro_Litho_Pp!$AC$30,(Wellbore_Pressure!B22/Wellbore_Pressure!A22)*(1/0.052),((Wellbore_Pressure!B22*0.3048)/(Wellbore_Pressure!A22*0.00689475729*0.052)))</f>
        <v>17.141500474833808</v>
      </c>
      <c r="E22" s="47">
        <f>IF(Hydro_Litho_Pp!$F$3=Hydro_Litho_Pp!$AC$30,E23-((Wellbore_Pressure!A23-Wellbore_Pressure!A22)*INDEX(Wellbore_Pressure!$B$6:$D$6,MATCH("psi/ft",Wellbore_Pressure!$B$4:$D$4,0))),E23-(((A23-A22)/1000)*INDEX($B$6:$D$6,MATCH("Mpa/km",$B$4:$D$4,0))))</f>
        <v>10245</v>
      </c>
      <c r="F22" s="47">
        <f>E22-Hydro_Litho_Pp!B43</f>
        <v>4899</v>
      </c>
      <c r="G22" s="59">
        <f>IF(Hydro_Litho_Pp!$F$3=Hydro_Litho_Pp!$AC$30,(E22/A22)*(1/0.052),((E22*0.3048)/(A22*0.00689475729*0.052)))</f>
        <v>16.215574548907881</v>
      </c>
      <c r="H22" s="47">
        <f>IF(Hydro_Litho_Pp!$F$3=Hydro_Litho_Pp!$AC$30,H23-((Wellbore_Pressure!A23-Wellbore_Pressure!A22)*INDEX(Wellbore_Pressure!$B$7:$D$7,MATCH("psi/ft",Wellbore_Pressure!$B$4:$D$4,0))),H23-(((A23-A22)/1000)*INDEX($B$7:$D$7,MATCH("Mpa/km",$B$4:$D$4,0))))</f>
        <v>9426</v>
      </c>
      <c r="I22" s="47">
        <f>H22-Hydro_Litho_Pp!B43</f>
        <v>4080</v>
      </c>
      <c r="J22" s="59">
        <f>IF(Hydro_Litho_Pp!$F$3=Hydro_Litho_Pp!$AC$30,(H22/A22)*(1/0.052),((H22*0.3048)/(A22*0.00689475729*0.052)))</f>
        <v>14.919278252611583</v>
      </c>
    </row>
    <row r="23" spans="1:15" x14ac:dyDescent="0.25">
      <c r="A23" s="47">
        <f>Hydro_Litho_Pp!A44</f>
        <v>12800</v>
      </c>
      <c r="B23" s="47">
        <f>IF(Hydro_Litho_Pp!$F$3=Hydro_Litho_Pp!$AC$30,B24-((Wellbore_Pressure!A24-Wellbore_Pressure!A23)*INDEX(Wellbore_Pressure!$B$5:$D$5,MATCH("psi/ft",Wellbore_Pressure!$B$4:$D$4,0))),B24-(((A24-A23)/1000)*INDEX($B$5:$D$5,MATCH("Mpa/km",$B$4:$D$4,0))))</f>
        <v>10960</v>
      </c>
      <c r="C23" s="66">
        <f>B23-Hydro_Litho_Pp!B44</f>
        <v>5328</v>
      </c>
      <c r="D23" s="59">
        <f>IF(Hydro_Litho_Pp!$F$3=Hydro_Litho_Pp!$AC$30,(Wellbore_Pressure!B23/Wellbore_Pressure!A23)*(1/0.052),((Wellbore_Pressure!B23*0.3048)/(Wellbore_Pressure!A23*0.00689475729*0.052)))</f>
        <v>16.466346153846153</v>
      </c>
      <c r="E23" s="47">
        <f>IF(Hydro_Litho_Pp!$F$3=Hydro_Litho_Pp!$AC$30,E24-((Wellbore_Pressure!A24-Wellbore_Pressure!A23)*INDEX(Wellbore_Pressure!$B$6:$D$6,MATCH("psi/ft",Wellbore_Pressure!$B$4:$D$4,0))),E24-(((A24-A23)/1000)*INDEX($B$6:$D$6,MATCH("Mpa/km",$B$4:$D$4,0))))</f>
        <v>10440</v>
      </c>
      <c r="F23" s="47">
        <f>E23-Hydro_Litho_Pp!B44</f>
        <v>4808</v>
      </c>
      <c r="G23" s="59">
        <f>IF(Hydro_Litho_Pp!$F$3=Hydro_Litho_Pp!$AC$30,(E23/A23)*(1/0.052),((E23*0.3048)/(A23*0.00689475729*0.052)))</f>
        <v>15.685096153846153</v>
      </c>
      <c r="H23" s="47">
        <f>IF(Hydro_Litho_Pp!$F$3=Hydro_Litho_Pp!$AC$30,H24-((Wellbore_Pressure!A24-Wellbore_Pressure!A23)*INDEX(Wellbore_Pressure!$B$7:$D$7,MATCH("psi/ft",Wellbore_Pressure!$B$4:$D$4,0))),H24-(((A24-A23)/1000)*INDEX($B$7:$D$7,MATCH("Mpa/km",$B$4:$D$4,0))))</f>
        <v>9712</v>
      </c>
      <c r="I23" s="47">
        <f>H23-Hydro_Litho_Pp!B44</f>
        <v>4080</v>
      </c>
      <c r="J23" s="59">
        <f>IF(Hydro_Litho_Pp!$F$3=Hydro_Litho_Pp!$AC$30,(H23/A23)*(1/0.052),((H23*0.3048)/(A23*0.00689475729*0.052)))</f>
        <v>14.591346153846153</v>
      </c>
    </row>
    <row r="24" spans="1:15" x14ac:dyDescent="0.25">
      <c r="A24" s="47">
        <f>Hydro_Litho_Pp!A45</f>
        <v>13450</v>
      </c>
      <c r="B24" s="47">
        <f>IF(Hydro_Litho_Pp!$F$3=Hydro_Litho_Pp!$AC$30,B25-((Wellbore_Pressure!A25-Wellbore_Pressure!A24)*INDEX(Wellbore_Pressure!$B$5:$D$5,MATCH("psi/ft",Wellbore_Pressure!$B$4:$D$4,0))),B25-(((A25-A24)/1000)*INDEX($B$5:$D$5,MATCH("Mpa/km",$B$4:$D$4,0))))</f>
        <v>11090</v>
      </c>
      <c r="C24" s="66">
        <f>B24-Hydro_Litho_Pp!B45</f>
        <v>5172</v>
      </c>
      <c r="D24" s="59">
        <f>IF(Hydro_Litho_Pp!$F$3=Hydro_Litho_Pp!$AC$30,(Wellbore_Pressure!B24/Wellbore_Pressure!A24)*(1/0.052),((Wellbore_Pressure!B24*0.3048)/(Wellbore_Pressure!A24*0.00689475729*0.052)))</f>
        <v>15.856448384329424</v>
      </c>
      <c r="E24" s="47">
        <f>IF(Hydro_Litho_Pp!$F$3=Hydro_Litho_Pp!$AC$30,E25-((Wellbore_Pressure!A25-Wellbore_Pressure!A24)*INDEX(Wellbore_Pressure!$B$6:$D$6,MATCH("psi/ft",Wellbore_Pressure!$B$4:$D$4,0))),E25-(((A25-A24)/1000)*INDEX($B$6:$D$6,MATCH("Mpa/km",$B$4:$D$4,0))))</f>
        <v>10635</v>
      </c>
      <c r="F24" s="47">
        <f>E24-Hydro_Litho_Pp!B45</f>
        <v>4717</v>
      </c>
      <c r="G24" s="59">
        <f>IF(Hydro_Litho_Pp!$F$3=Hydro_Litho_Pp!$AC$30,(E24/A24)*(1/0.052),((E24*0.3048)/(A24*0.00689475729*0.052)))</f>
        <v>15.205890763511579</v>
      </c>
      <c r="H24" s="47">
        <f>IF(Hydro_Litho_Pp!$F$3=Hydro_Litho_Pp!$AC$30,H25-((Wellbore_Pressure!A25-Wellbore_Pressure!A24)*INDEX(Wellbore_Pressure!$B$7:$D$7,MATCH("psi/ft",Wellbore_Pressure!$B$4:$D$4,0))),H25-(((A25-A24)/1000)*INDEX($B$7:$D$7,MATCH("Mpa/km",$B$4:$D$4,0))))</f>
        <v>9998</v>
      </c>
      <c r="I24" s="47">
        <f>H24-Hydro_Litho_Pp!B45</f>
        <v>4080</v>
      </c>
      <c r="J24" s="59">
        <f>IF(Hydro_Litho_Pp!$F$3=Hydro_Litho_Pp!$AC$30,(H24/A24)*(1/0.052),((H24*0.3048)/(A24*0.00689475729*0.052)))</f>
        <v>14.295110094366599</v>
      </c>
    </row>
    <row r="25" spans="1:15" x14ac:dyDescent="0.25">
      <c r="A25" s="47">
        <f>Hydro_Litho_Pp!A46</f>
        <v>14100</v>
      </c>
      <c r="B25" s="47">
        <f>IF(Hydro_Litho_Pp!$F$3=Hydro_Litho_Pp!$AC$30,B26-((Wellbore_Pressure!A26-Wellbore_Pressure!A25)*INDEX(Wellbore_Pressure!$B$5:$D$5,MATCH("psi/ft",Wellbore_Pressure!$B$4:$D$4,0))),B26-(((A26-A25)/1000)*INDEX($B$5:$D$5,MATCH("Mpa/km",$B$4:$D$4,0))))</f>
        <v>11220</v>
      </c>
      <c r="C25" s="66">
        <f>B25-Hydro_Litho_Pp!B46</f>
        <v>5016</v>
      </c>
      <c r="D25" s="59">
        <f>IF(Hydro_Litho_Pp!$F$3=Hydro_Litho_Pp!$AC$30,(Wellbore_Pressure!B25/Wellbore_Pressure!A25)*(1/0.052),((Wellbore_Pressure!B25*0.3048)/(Wellbore_Pressure!A25*0.00689475729*0.052)))</f>
        <v>15.302782324058921</v>
      </c>
      <c r="E25" s="47">
        <f>IF(Hydro_Litho_Pp!$F$3=Hydro_Litho_Pp!$AC$30,E26-((Wellbore_Pressure!A26-Wellbore_Pressure!A25)*INDEX(Wellbore_Pressure!$B$6:$D$6,MATCH("psi/ft",Wellbore_Pressure!$B$4:$D$4,0))),E26-(((A26-A25)/1000)*INDEX($B$6:$D$6,MATCH("Mpa/km",$B$4:$D$4,0))))</f>
        <v>10830</v>
      </c>
      <c r="F25" s="47">
        <f>E25-Hydro_Litho_Pp!B46</f>
        <v>4626</v>
      </c>
      <c r="G25" s="59">
        <f>IF(Hydro_Litho_Pp!$F$3=Hydro_Litho_Pp!$AC$30,(E25/A25)*(1/0.052),((E25*0.3048)/(A25*0.00689475729*0.052)))</f>
        <v>14.770867430441898</v>
      </c>
      <c r="H25" s="47">
        <f>IF(Hydro_Litho_Pp!$F$3=Hydro_Litho_Pp!$AC$30,H26-((Wellbore_Pressure!A26-Wellbore_Pressure!A25)*INDEX(Wellbore_Pressure!$B$7:$D$7,MATCH("psi/ft",Wellbore_Pressure!$B$4:$D$4,0))),H26-(((A26-A25)/1000)*INDEX($B$7:$D$7,MATCH("Mpa/km",$B$4:$D$4,0))))</f>
        <v>10284</v>
      </c>
      <c r="I25" s="47">
        <f>H25-Hydro_Litho_Pp!B46</f>
        <v>4080</v>
      </c>
      <c r="J25" s="59">
        <f>IF(Hydro_Litho_Pp!$F$3=Hydro_Litho_Pp!$AC$30,(H25/A25)*(1/0.052),((H25*0.3048)/(A25*0.00689475729*0.052)))</f>
        <v>14.026186579378068</v>
      </c>
    </row>
    <row r="26" spans="1:15" x14ac:dyDescent="0.25">
      <c r="A26" s="47">
        <f>Hydro_Litho_Pp!A47</f>
        <v>14750</v>
      </c>
      <c r="B26" s="47">
        <f>IF(Hydro_Litho_Pp!$F$3=Hydro_Litho_Pp!$AC$30,B27-((Wellbore_Pressure!A27-Wellbore_Pressure!A26)*INDEX(Wellbore_Pressure!$B$5:$D$5,MATCH("psi/ft",Wellbore_Pressure!$B$4:$D$4,0))),B27-(((A27-A26)/1000)*INDEX($B$5:$D$5,MATCH("Mpa/km",$B$4:$D$4,0))))</f>
        <v>11350</v>
      </c>
      <c r="C26" s="66">
        <f>B26-Hydro_Litho_Pp!B47</f>
        <v>4860</v>
      </c>
      <c r="D26" s="59">
        <f>IF(Hydro_Litho_Pp!$F$3=Hydro_Litho_Pp!$AC$30,(Wellbore_Pressure!B26/Wellbore_Pressure!A26)*(1/0.052),((Wellbore_Pressure!B26*0.3048)/(Wellbore_Pressure!A26*0.00689475729*0.052)))</f>
        <v>14.797913950456323</v>
      </c>
      <c r="E26" s="47">
        <f>IF(Hydro_Litho_Pp!$F$3=Hydro_Litho_Pp!$AC$30,E27-((Wellbore_Pressure!A27-Wellbore_Pressure!A26)*INDEX(Wellbore_Pressure!$B$6:$D$6,MATCH("psi/ft",Wellbore_Pressure!$B$4:$D$4,0))),E27-(((A27-A26)/1000)*INDEX($B$6:$D$6,MATCH("Mpa/km",$B$4:$D$4,0))))</f>
        <v>11025</v>
      </c>
      <c r="F26" s="47">
        <f>E26-Hydro_Litho_Pp!B47</f>
        <v>4535</v>
      </c>
      <c r="G26" s="59">
        <f>IF(Hydro_Litho_Pp!$F$3=Hydro_Litho_Pp!$AC$30,(E26/A26)*(1/0.052),((E26*0.3048)/(A26*0.00689475729*0.052)))</f>
        <v>14.374185136897001</v>
      </c>
      <c r="H26" s="47">
        <f>IF(Hydro_Litho_Pp!$F$3=Hydro_Litho_Pp!$AC$30,H27-((Wellbore_Pressure!A27-Wellbore_Pressure!A26)*INDEX(Wellbore_Pressure!$B$7:$D$7,MATCH("psi/ft",Wellbore_Pressure!$B$4:$D$4,0))),H27-(((A27-A26)/1000)*INDEX($B$7:$D$7,MATCH("Mpa/km",$B$4:$D$4,0))))</f>
        <v>10570</v>
      </c>
      <c r="I26" s="47">
        <f>H26-Hydro_Litho_Pp!B47</f>
        <v>4080</v>
      </c>
      <c r="J26" s="59">
        <f>IF(Hydro_Litho_Pp!$F$3=Hydro_Litho_Pp!$AC$30,(H26/A26)*(1/0.052),((H26*0.3048)/(A26*0.00689475729*0.052)))</f>
        <v>13.780964797913951</v>
      </c>
    </row>
    <row r="27" spans="1:15" x14ac:dyDescent="0.25">
      <c r="A27" s="47">
        <f>Hydro_Litho_Pp!A48</f>
        <v>15400</v>
      </c>
      <c r="B27" s="47">
        <f>IF(Hydro_Litho_Pp!$F$3=Hydro_Litho_Pp!$AC$30,B28-((Wellbore_Pressure!A28-Wellbore_Pressure!A27)*INDEX(Wellbore_Pressure!$B$5:$D$5,MATCH("psi/ft",Wellbore_Pressure!$B$4:$D$4,0))),B28-(((A28-A27)/1000)*INDEX($B$5:$D$5,MATCH("Mpa/km",$B$4:$D$4,0))))</f>
        <v>11480</v>
      </c>
      <c r="C27" s="66">
        <f>B27-Hydro_Litho_Pp!B48</f>
        <v>4704</v>
      </c>
      <c r="D27" s="59">
        <f>IF(Hydro_Litho_Pp!$F$3=Hydro_Litho_Pp!$AC$30,(Wellbore_Pressure!B27/Wellbore_Pressure!A27)*(1/0.052),((Wellbore_Pressure!B27*0.3048)/(Wellbore_Pressure!A27*0.00689475729*0.052)))</f>
        <v>14.335664335664335</v>
      </c>
      <c r="E27" s="47">
        <f>IF(Hydro_Litho_Pp!$F$3=Hydro_Litho_Pp!$AC$30,E28-((Wellbore_Pressure!A28-Wellbore_Pressure!A27)*INDEX(Wellbore_Pressure!$B$6:$D$6,MATCH("psi/ft",Wellbore_Pressure!$B$4:$D$4,0))),E28-(((A28-A27)/1000)*INDEX($B$6:$D$6,MATCH("Mpa/km",$B$4:$D$4,0))))</f>
        <v>11220</v>
      </c>
      <c r="F27" s="47">
        <f>E27-Hydro_Litho_Pp!B48</f>
        <v>4444</v>
      </c>
      <c r="G27" s="59">
        <f>IF(Hydro_Litho_Pp!$F$3=Hydro_Litho_Pp!$AC$30,(E27/A27)*(1/0.052),((E27*0.3048)/(A27*0.00689475729*0.052)))</f>
        <v>14.010989010989009</v>
      </c>
      <c r="H27" s="47">
        <f>IF(Hydro_Litho_Pp!$F$3=Hydro_Litho_Pp!$AC$30,H28-((Wellbore_Pressure!A28-Wellbore_Pressure!A27)*INDEX(Wellbore_Pressure!$B$7:$D$7,MATCH("psi/ft",Wellbore_Pressure!$B$4:$D$4,0))),H28-(((A28-A27)/1000)*INDEX($B$7:$D$7,MATCH("Mpa/km",$B$4:$D$4,0))))</f>
        <v>10856</v>
      </c>
      <c r="I27" s="47">
        <f>H27-Hydro_Litho_Pp!B48</f>
        <v>4080</v>
      </c>
      <c r="J27" s="59">
        <f>IF(Hydro_Litho_Pp!$F$3=Hydro_Litho_Pp!$AC$30,(H27/A27)*(1/0.052),((H27*0.3048)/(A27*0.00689475729*0.052)))</f>
        <v>13.556443556443556</v>
      </c>
      <c r="M27" s="115" t="s">
        <v>59</v>
      </c>
      <c r="N27" s="115"/>
      <c r="O27" s="115"/>
    </row>
    <row r="28" spans="1:15" x14ac:dyDescent="0.25">
      <c r="A28" s="47">
        <f>Hydro_Litho_Pp!A49</f>
        <v>16050</v>
      </c>
      <c r="B28" s="47">
        <f>IF(Hydro_Litho_Pp!$F$3=Hydro_Litho_Pp!$AC$30,B29-((Wellbore_Pressure!A29-Wellbore_Pressure!A28)*INDEX(Wellbore_Pressure!$B$5:$D$5,MATCH("psi/ft",Wellbore_Pressure!$B$4:$D$4,0))),B29-(((A29-A28)/1000)*INDEX($B$5:$D$5,MATCH("Mpa/km",$B$4:$D$4,0))))</f>
        <v>11610</v>
      </c>
      <c r="C28" s="66">
        <f>B28-Hydro_Litho_Pp!B49</f>
        <v>4548</v>
      </c>
      <c r="D28" s="59">
        <f>IF(Hydro_Litho_Pp!$F$3=Hydro_Litho_Pp!$AC$30,(Wellbore_Pressure!B28/Wellbore_Pressure!A28)*(1/0.052),((Wellbore_Pressure!B28*0.3048)/(Wellbore_Pressure!A28*0.00689475729*0.052)))</f>
        <v>13.910855499640546</v>
      </c>
      <c r="E28" s="47">
        <f>IF(Hydro_Litho_Pp!$F$3=Hydro_Litho_Pp!$AC$30,E29-((Wellbore_Pressure!A29-Wellbore_Pressure!A28)*INDEX(Wellbore_Pressure!$B$6:$D$6,MATCH("psi/ft",Wellbore_Pressure!$B$4:$D$4,0))),E29-(((A29-A28)/1000)*INDEX($B$6:$D$6,MATCH("Mpa/km",$B$4:$D$4,0))))</f>
        <v>11415</v>
      </c>
      <c r="F28" s="47">
        <f>E28-Hydro_Litho_Pp!B49</f>
        <v>4353</v>
      </c>
      <c r="G28" s="59">
        <f>IF(Hydro_Litho_Pp!$F$3=Hydro_Litho_Pp!$AC$30,(E28/A28)*(1/0.052),((E28*0.3048)/(A28*0.00689475729*0.052)))</f>
        <v>13.677210639827461</v>
      </c>
      <c r="H28" s="47">
        <f>IF(Hydro_Litho_Pp!$F$3=Hydro_Litho_Pp!$AC$30,H29-((Wellbore_Pressure!A29-Wellbore_Pressure!A28)*INDEX(Wellbore_Pressure!$B$7:$D$7,MATCH("psi/ft",Wellbore_Pressure!$B$4:$D$4,0))),H29-(((A29-A28)/1000)*INDEX($B$7:$D$7,MATCH("Mpa/km",$B$4:$D$4,0))))</f>
        <v>11142</v>
      </c>
      <c r="I28" s="47">
        <f>H28-Hydro_Litho_Pp!B49</f>
        <v>4080</v>
      </c>
      <c r="J28" s="59">
        <f>IF(Hydro_Litho_Pp!$F$3=Hydro_Litho_Pp!$AC$30,(H28/A28)*(1/0.052),((H28*0.3048)/(A28*0.00689475729*0.052)))</f>
        <v>13.350107836089144</v>
      </c>
    </row>
    <row r="29" spans="1:15" x14ac:dyDescent="0.25">
      <c r="A29" s="47">
        <f>Hydro_Litho_Pp!A50</f>
        <v>16700</v>
      </c>
      <c r="B29" s="47">
        <f>IF(Hydro_Litho_Pp!$F$3=Hydro_Litho_Pp!$AC$30,B30-((Wellbore_Pressure!A30-Wellbore_Pressure!A29)*INDEX(Wellbore_Pressure!$B$5:$D$5,MATCH("psi/ft",Wellbore_Pressure!$B$4:$D$4,0))),B30-(((A30-A29)/1000)*INDEX($B$5:$D$5,MATCH("Mpa/km",$B$4:$D$4,0))))</f>
        <v>11740</v>
      </c>
      <c r="C29" s="66">
        <f>B29-Hydro_Litho_Pp!B50</f>
        <v>4392</v>
      </c>
      <c r="D29" s="59">
        <f>IF(Hydro_Litho_Pp!$F$3=Hydro_Litho_Pp!$AC$30,(Wellbore_Pressure!B29/Wellbore_Pressure!A29)*(1/0.052),((Wellbore_Pressure!B29*0.3048)/(Wellbore_Pressure!A29*0.00689475729*0.052)))</f>
        <v>13.519115614923999</v>
      </c>
      <c r="E29" s="47">
        <f>IF(Hydro_Litho_Pp!$F$3=Hydro_Litho_Pp!$AC$30,E30-((Wellbore_Pressure!A30-Wellbore_Pressure!A29)*INDEX(Wellbore_Pressure!$B$6:$D$6,MATCH("psi/ft",Wellbore_Pressure!$B$4:$D$4,0))),E30-(((A30-A29)/1000)*INDEX($B$6:$D$6,MATCH("Mpa/km",$B$4:$D$4,0))))</f>
        <v>11610</v>
      </c>
      <c r="F29" s="47">
        <f>E29-Hydro_Litho_Pp!B50</f>
        <v>4262</v>
      </c>
      <c r="G29" s="59">
        <f>IF(Hydro_Litho_Pp!$F$3=Hydro_Litho_Pp!$AC$30,(E29/A29)*(1/0.052),((E29*0.3048)/(A29*0.00689475729*0.052)))</f>
        <v>13.369415016121604</v>
      </c>
      <c r="H29" s="47">
        <f>IF(Hydro_Litho_Pp!$F$3=Hydro_Litho_Pp!$AC$30,H30-((Wellbore_Pressure!A30-Wellbore_Pressure!A29)*INDEX(Wellbore_Pressure!$B$7:$D$7,MATCH("psi/ft",Wellbore_Pressure!$B$4:$D$4,0))),H30-(((A30-A29)/1000)*INDEX($B$7:$D$7,MATCH("Mpa/km",$B$4:$D$4,0))))</f>
        <v>11428</v>
      </c>
      <c r="I29" s="47">
        <f>H29-Hydro_Litho_Pp!B50</f>
        <v>4080</v>
      </c>
      <c r="J29" s="59">
        <f>IF(Hydro_Litho_Pp!$F$3=Hydro_Litho_Pp!$AC$30,(H29/A29)*(1/0.052),((H29*0.3048)/(A29*0.00689475729*0.052)))</f>
        <v>13.159834177798249</v>
      </c>
    </row>
    <row r="30" spans="1:15" x14ac:dyDescent="0.25">
      <c r="A30" s="47">
        <f>Hydro_Litho_Pp!A51</f>
        <v>17350</v>
      </c>
      <c r="B30" s="47">
        <f>IF(Hydro_Litho_Pp!$F$3=Hydro_Litho_Pp!$AC$30,B31-((Wellbore_Pressure!A31-Wellbore_Pressure!A30)*INDEX(Wellbore_Pressure!$B$5:$D$5,MATCH("psi/ft",Wellbore_Pressure!$B$4:$D$4,0))),B31-(((A31-A30)/1000)*INDEX($B$5:$D$5,MATCH("Mpa/km",$B$4:$D$4,0))))</f>
        <v>11870</v>
      </c>
      <c r="C30" s="66">
        <f>B30-Hydro_Litho_Pp!B51</f>
        <v>4236</v>
      </c>
      <c r="D30" s="59">
        <f>IF(Hydro_Litho_Pp!$F$3=Hydro_Litho_Pp!$AC$30,(Wellbore_Pressure!B30/Wellbore_Pressure!A30)*(1/0.052),((Wellbore_Pressure!B30*0.3048)/(Wellbore_Pressure!A30*0.00689475729*0.052)))</f>
        <v>13.156727998226557</v>
      </c>
      <c r="E30" s="47">
        <f>IF(Hydro_Litho_Pp!$F$3=Hydro_Litho_Pp!$AC$30,E31-((Wellbore_Pressure!A31-Wellbore_Pressure!A30)*INDEX(Wellbore_Pressure!$B$6:$D$6,MATCH("psi/ft",Wellbore_Pressure!$B$4:$D$4,0))),E31-(((A31-A30)/1000)*INDEX($B$6:$D$6,MATCH("Mpa/km",$B$4:$D$4,0))))</f>
        <v>11805</v>
      </c>
      <c r="F30" s="47">
        <f>E30-Hydro_Litho_Pp!B51</f>
        <v>4171</v>
      </c>
      <c r="G30" s="59">
        <f>IF(Hydro_Litho_Pp!$F$3=Hydro_Litho_Pp!$AC$30,(E30/A30)*(1/0.052),((E30*0.3048)/(A30*0.00689475729*0.052)))</f>
        <v>13.084681888716469</v>
      </c>
      <c r="H30" s="47">
        <f>IF(Hydro_Litho_Pp!$F$3=Hydro_Litho_Pp!$AC$30,H31-((Wellbore_Pressure!A31-Wellbore_Pressure!A30)*INDEX(Wellbore_Pressure!$B$7:$D$7,MATCH("psi/ft",Wellbore_Pressure!$B$4:$D$4,0))),H31-(((A31-A30)/1000)*INDEX($B$7:$D$7,MATCH("Mpa/km",$B$4:$D$4,0))))</f>
        <v>11714</v>
      </c>
      <c r="I30" s="47">
        <f>H30-Hydro_Litho_Pp!B51</f>
        <v>4080</v>
      </c>
      <c r="J30" s="59">
        <f>IF(Hydro_Litho_Pp!$F$3=Hydro_Litho_Pp!$AC$30,(H30/A30)*(1/0.052),((H30*0.3048)/(A30*0.00689475729*0.052)))</f>
        <v>12.983817335402348</v>
      </c>
    </row>
    <row r="31" spans="1:15" x14ac:dyDescent="0.25">
      <c r="A31" s="62">
        <f>Hydro_Litho_Pp!A52</f>
        <v>18000</v>
      </c>
      <c r="B31" s="62">
        <f>Hydro_Litho_Pp!E8</f>
        <v>12000</v>
      </c>
      <c r="C31" s="67">
        <f>B31-Hydro_Litho_Pp!B52</f>
        <v>4080</v>
      </c>
      <c r="D31" s="63">
        <f>IF(Hydro_Litho_Pp!$F$3=Hydro_Litho_Pp!$AC$30,(Wellbore_Pressure!B31/Wellbore_Pressure!A31)*(1/0.052),((Wellbore_Pressure!B31*0.3048)/(Wellbore_Pressure!A31*0.00689475729*0.052)))</f>
        <v>12.820512820512819</v>
      </c>
      <c r="E31" s="62">
        <f>B31</f>
        <v>12000</v>
      </c>
      <c r="F31" s="62">
        <f>E31-Hydro_Litho_Pp!B52</f>
        <v>4080</v>
      </c>
      <c r="G31" s="63">
        <f>IF(Hydro_Litho_Pp!$F$3=Hydro_Litho_Pp!$AC$30,(E31/A31)*(1/0.052),((E31*0.3048)/(A31*0.00689475729*0.052)))</f>
        <v>12.820512820512819</v>
      </c>
      <c r="H31" s="62">
        <f>B31</f>
        <v>12000</v>
      </c>
      <c r="I31" s="62">
        <f>H31-Hydro_Litho_Pp!B52</f>
        <v>4080</v>
      </c>
      <c r="J31" s="63">
        <f>IF(Hydro_Litho_Pp!$F$3=Hydro_Litho_Pp!$AC$30,(H31/A31)*(1/0.052),((H31*0.3048)/(A31*0.00689475729*0.052)))</f>
        <v>12.820512820512819</v>
      </c>
      <c r="N31" s="94"/>
    </row>
    <row r="32" spans="1:15" x14ac:dyDescent="0.25">
      <c r="B32" s="21"/>
      <c r="C32" s="21"/>
      <c r="E32" s="21"/>
      <c r="F32" s="21"/>
      <c r="G32" s="21"/>
      <c r="H32" s="21"/>
      <c r="I32" s="21"/>
      <c r="J32" s="21"/>
      <c r="K32" s="21"/>
      <c r="L32" s="21"/>
      <c r="N32" s="51"/>
    </row>
    <row r="33" spans="1:14" x14ac:dyDescent="0.25">
      <c r="N33" s="34"/>
    </row>
    <row r="38" spans="1:14" x14ac:dyDescent="0.25">
      <c r="A38" s="22"/>
    </row>
    <row r="52" spans="1:12" x14ac:dyDescent="0.25">
      <c r="B52" s="132" t="s">
        <v>17</v>
      </c>
      <c r="C52" s="132"/>
      <c r="D52" s="134" t="s">
        <v>23</v>
      </c>
      <c r="E52" s="134"/>
      <c r="F52" s="134"/>
      <c r="G52" s="135" t="s">
        <v>22</v>
      </c>
      <c r="H52" s="135"/>
      <c r="I52" s="135"/>
      <c r="J52" s="136" t="s">
        <v>24</v>
      </c>
      <c r="K52" s="136"/>
      <c r="L52" s="136"/>
    </row>
    <row r="53" spans="1:12" x14ac:dyDescent="0.25">
      <c r="B53" s="18" t="s">
        <v>1</v>
      </c>
      <c r="C53" s="18" t="s">
        <v>2</v>
      </c>
      <c r="D53" s="18" t="s">
        <v>6</v>
      </c>
      <c r="E53" s="18" t="s">
        <v>7</v>
      </c>
      <c r="F53" s="18" t="s">
        <v>26</v>
      </c>
      <c r="G53" s="18" t="s">
        <v>6</v>
      </c>
      <c r="H53" s="18" t="s">
        <v>7</v>
      </c>
      <c r="I53" s="18" t="s">
        <v>26</v>
      </c>
      <c r="J53" s="18" t="s">
        <v>6</v>
      </c>
      <c r="K53" s="18" t="s">
        <v>7</v>
      </c>
      <c r="L53" s="18" t="s">
        <v>26</v>
      </c>
    </row>
    <row r="54" spans="1:12" x14ac:dyDescent="0.25">
      <c r="A54" s="27" t="s">
        <v>3</v>
      </c>
      <c r="B54" s="28" t="e">
        <f>IF(Hydro_Litho_Pp!B7=Hydro_Litho_Pp!AH28,Hydro_Litho_Pp!B8,(Hydro_Litho_Pp!B8/Wellbore_Pressure!N32))</f>
        <v>#DIV/0!</v>
      </c>
      <c r="C54" s="28" t="e">
        <f>B54*Wellbore_Pressure!$N$32</f>
        <v>#DIV/0!</v>
      </c>
      <c r="D54" s="28" t="e">
        <f t="shared" ref="D54:D73" si="2">IF($B$4="psi/ft",(D55-($B$5*(B55-B54))),(D55-($C$5*(B55-B54))))</f>
        <v>#DIV/0!</v>
      </c>
      <c r="E54" s="29" t="e">
        <f>D54*Wellbore_Pressure!$N$31</f>
        <v>#DIV/0!</v>
      </c>
      <c r="F54" s="29" t="e">
        <f>D54*(Wellbore_Pressure!$N$33)/B54</f>
        <v>#DIV/0!</v>
      </c>
      <c r="G54" s="28" t="e">
        <f t="shared" ref="G54:G73" si="3">IF($B$4="psi/ft",(G55-($B$6*(B55-B54))),(G55-($C$6*(B55-B54))))</f>
        <v>#DIV/0!</v>
      </c>
      <c r="H54" s="29" t="e">
        <f>G54*Wellbore_Pressure!$N$31</f>
        <v>#DIV/0!</v>
      </c>
      <c r="I54" s="29" t="e">
        <f>G54*(Wellbore_Pressure!$N$33)/B54</f>
        <v>#DIV/0!</v>
      </c>
      <c r="J54" s="28" t="e">
        <f t="shared" ref="J54:J73" si="4">IF($B$4="psi/ft",(J55-($B$7*(B55-B54))),(J55-($C$7*(B55-B54))))</f>
        <v>#DIV/0!</v>
      </c>
      <c r="K54" s="29" t="e">
        <f>J54*Wellbore_Pressure!$N$31</f>
        <v>#DIV/0!</v>
      </c>
      <c r="L54" s="29" t="e">
        <f>J54*(Wellbore_Pressure!$N$33)/B54</f>
        <v>#DIV/0!</v>
      </c>
    </row>
    <row r="55" spans="1:12" x14ac:dyDescent="0.25">
      <c r="B55" s="15" t="e">
        <f t="shared" ref="B55:B73" si="5">B54+($B$74-$B$54)/(20)</f>
        <v>#DIV/0!</v>
      </c>
      <c r="C55" s="15" t="e">
        <f>B55*Wellbore_Pressure!$N$32</f>
        <v>#DIV/0!</v>
      </c>
      <c r="D55" s="15" t="e">
        <f t="shared" si="2"/>
        <v>#DIV/0!</v>
      </c>
      <c r="E55" s="16" t="e">
        <f>D55*Wellbore_Pressure!$N$31</f>
        <v>#DIV/0!</v>
      </c>
      <c r="F55" s="16" t="e">
        <f>D55*(Wellbore_Pressure!$N$33)/B55</f>
        <v>#DIV/0!</v>
      </c>
      <c r="G55" s="15" t="e">
        <f t="shared" si="3"/>
        <v>#DIV/0!</v>
      </c>
      <c r="H55" s="16" t="e">
        <f>G55*Wellbore_Pressure!$N$31</f>
        <v>#DIV/0!</v>
      </c>
      <c r="I55" s="16" t="e">
        <f>G55*(Wellbore_Pressure!$N$33)/B55</f>
        <v>#DIV/0!</v>
      </c>
      <c r="J55" s="15" t="e">
        <f t="shared" si="4"/>
        <v>#DIV/0!</v>
      </c>
      <c r="K55" s="16" t="e">
        <f>J55*Wellbore_Pressure!$N$31</f>
        <v>#DIV/0!</v>
      </c>
      <c r="L55" s="16" t="e">
        <f>J55*(Wellbore_Pressure!$N$33)/B55</f>
        <v>#DIV/0!</v>
      </c>
    </row>
    <row r="56" spans="1:12" x14ac:dyDescent="0.25">
      <c r="B56" s="15" t="e">
        <f t="shared" si="5"/>
        <v>#DIV/0!</v>
      </c>
      <c r="C56" s="15" t="e">
        <f>B56*Wellbore_Pressure!$N$32</f>
        <v>#DIV/0!</v>
      </c>
      <c r="D56" s="15" t="e">
        <f t="shared" si="2"/>
        <v>#DIV/0!</v>
      </c>
      <c r="E56" s="16" t="e">
        <f>D56*Wellbore_Pressure!$N$31</f>
        <v>#DIV/0!</v>
      </c>
      <c r="F56" s="16" t="e">
        <f>D56*(Wellbore_Pressure!$N$33)/B56</f>
        <v>#DIV/0!</v>
      </c>
      <c r="G56" s="15" t="e">
        <f t="shared" si="3"/>
        <v>#DIV/0!</v>
      </c>
      <c r="H56" s="16" t="e">
        <f>G56*Wellbore_Pressure!$N$31</f>
        <v>#DIV/0!</v>
      </c>
      <c r="I56" s="16" t="e">
        <f>G56*(Wellbore_Pressure!$N$33)/B56</f>
        <v>#DIV/0!</v>
      </c>
      <c r="J56" s="15" t="e">
        <f t="shared" si="4"/>
        <v>#DIV/0!</v>
      </c>
      <c r="K56" s="16" t="e">
        <f>J56*Wellbore_Pressure!$N$31</f>
        <v>#DIV/0!</v>
      </c>
      <c r="L56" s="16" t="e">
        <f>J56*(Wellbore_Pressure!$N$33)/B56</f>
        <v>#DIV/0!</v>
      </c>
    </row>
    <row r="57" spans="1:12" x14ac:dyDescent="0.25">
      <c r="B57" s="15" t="e">
        <f t="shared" si="5"/>
        <v>#DIV/0!</v>
      </c>
      <c r="C57" s="15" t="e">
        <f>B57*Wellbore_Pressure!$N$32</f>
        <v>#DIV/0!</v>
      </c>
      <c r="D57" s="15" t="e">
        <f t="shared" si="2"/>
        <v>#DIV/0!</v>
      </c>
      <c r="E57" s="16" t="e">
        <f>D57*Wellbore_Pressure!$N$31</f>
        <v>#DIV/0!</v>
      </c>
      <c r="F57" s="16" t="e">
        <f>D57*(Wellbore_Pressure!$N$33)/B57</f>
        <v>#DIV/0!</v>
      </c>
      <c r="G57" s="15" t="e">
        <f t="shared" si="3"/>
        <v>#DIV/0!</v>
      </c>
      <c r="H57" s="16" t="e">
        <f>G57*Wellbore_Pressure!$N$31</f>
        <v>#DIV/0!</v>
      </c>
      <c r="I57" s="16" t="e">
        <f>G57*(Wellbore_Pressure!$N$33)/B57</f>
        <v>#DIV/0!</v>
      </c>
      <c r="J57" s="15" t="e">
        <f t="shared" si="4"/>
        <v>#DIV/0!</v>
      </c>
      <c r="K57" s="16" t="e">
        <f>J57*Wellbore_Pressure!$N$31</f>
        <v>#DIV/0!</v>
      </c>
      <c r="L57" s="16" t="e">
        <f>J57*(Wellbore_Pressure!$N$33)/B57</f>
        <v>#DIV/0!</v>
      </c>
    </row>
    <row r="58" spans="1:12" x14ac:dyDescent="0.25">
      <c r="B58" s="15" t="e">
        <f t="shared" si="5"/>
        <v>#DIV/0!</v>
      </c>
      <c r="C58" s="15" t="e">
        <f>B58*Wellbore_Pressure!$N$32</f>
        <v>#DIV/0!</v>
      </c>
      <c r="D58" s="15" t="e">
        <f t="shared" si="2"/>
        <v>#DIV/0!</v>
      </c>
      <c r="E58" s="16" t="e">
        <f>D58*Wellbore_Pressure!$N$31</f>
        <v>#DIV/0!</v>
      </c>
      <c r="F58" s="16" t="e">
        <f>D58*(Wellbore_Pressure!$N$33)/B58</f>
        <v>#DIV/0!</v>
      </c>
      <c r="G58" s="15" t="e">
        <f t="shared" si="3"/>
        <v>#DIV/0!</v>
      </c>
      <c r="H58" s="16" t="e">
        <f>G58*Wellbore_Pressure!$N$31</f>
        <v>#DIV/0!</v>
      </c>
      <c r="I58" s="16" t="e">
        <f>G58*(Wellbore_Pressure!$N$33)/B58</f>
        <v>#DIV/0!</v>
      </c>
      <c r="J58" s="15" t="e">
        <f t="shared" si="4"/>
        <v>#DIV/0!</v>
      </c>
      <c r="K58" s="16" t="e">
        <f>J58*Wellbore_Pressure!$N$31</f>
        <v>#DIV/0!</v>
      </c>
      <c r="L58" s="16" t="e">
        <f>J58*(Wellbore_Pressure!$N$33)/B58</f>
        <v>#DIV/0!</v>
      </c>
    </row>
    <row r="59" spans="1:12" x14ac:dyDescent="0.25">
      <c r="B59" s="15" t="e">
        <f t="shared" si="5"/>
        <v>#DIV/0!</v>
      </c>
      <c r="C59" s="15" t="e">
        <f>B59*Wellbore_Pressure!$N$32</f>
        <v>#DIV/0!</v>
      </c>
      <c r="D59" s="15" t="e">
        <f t="shared" si="2"/>
        <v>#DIV/0!</v>
      </c>
      <c r="E59" s="16" t="e">
        <f>D59*Wellbore_Pressure!$N$31</f>
        <v>#DIV/0!</v>
      </c>
      <c r="F59" s="16" t="e">
        <f>D59*(Wellbore_Pressure!$N$33)/B59</f>
        <v>#DIV/0!</v>
      </c>
      <c r="G59" s="15" t="e">
        <f t="shared" si="3"/>
        <v>#DIV/0!</v>
      </c>
      <c r="H59" s="16" t="e">
        <f>G59*Wellbore_Pressure!$N$31</f>
        <v>#DIV/0!</v>
      </c>
      <c r="I59" s="16" t="e">
        <f>G59*(Wellbore_Pressure!$N$33)/B59</f>
        <v>#DIV/0!</v>
      </c>
      <c r="J59" s="15" t="e">
        <f t="shared" si="4"/>
        <v>#DIV/0!</v>
      </c>
      <c r="K59" s="16" t="e">
        <f>J59*Wellbore_Pressure!$N$31</f>
        <v>#DIV/0!</v>
      </c>
      <c r="L59" s="16" t="e">
        <f>J59*(Wellbore_Pressure!$N$33)/B59</f>
        <v>#DIV/0!</v>
      </c>
    </row>
    <row r="60" spans="1:12" x14ac:dyDescent="0.25">
      <c r="B60" s="15" t="e">
        <f t="shared" si="5"/>
        <v>#DIV/0!</v>
      </c>
      <c r="C60" s="15" t="e">
        <f>B60*Wellbore_Pressure!$N$32</f>
        <v>#DIV/0!</v>
      </c>
      <c r="D60" s="15" t="e">
        <f t="shared" si="2"/>
        <v>#DIV/0!</v>
      </c>
      <c r="E60" s="16" t="e">
        <f>D60*Wellbore_Pressure!$N$31</f>
        <v>#DIV/0!</v>
      </c>
      <c r="F60" s="16" t="e">
        <f>D60*(Wellbore_Pressure!$N$33)/B60</f>
        <v>#DIV/0!</v>
      </c>
      <c r="G60" s="15" t="e">
        <f t="shared" si="3"/>
        <v>#DIV/0!</v>
      </c>
      <c r="H60" s="16" t="e">
        <f>G60*Wellbore_Pressure!$N$31</f>
        <v>#DIV/0!</v>
      </c>
      <c r="I60" s="16" t="e">
        <f>G60*(Wellbore_Pressure!$N$33)/B60</f>
        <v>#DIV/0!</v>
      </c>
      <c r="J60" s="15" t="e">
        <f t="shared" si="4"/>
        <v>#DIV/0!</v>
      </c>
      <c r="K60" s="16" t="e">
        <f>J60*Wellbore_Pressure!$N$31</f>
        <v>#DIV/0!</v>
      </c>
      <c r="L60" s="16" t="e">
        <f>J60*(Wellbore_Pressure!$N$33)/B60</f>
        <v>#DIV/0!</v>
      </c>
    </row>
    <row r="61" spans="1:12" x14ac:dyDescent="0.25">
      <c r="B61" s="15" t="e">
        <f t="shared" si="5"/>
        <v>#DIV/0!</v>
      </c>
      <c r="C61" s="15" t="e">
        <f>B61*Wellbore_Pressure!$N$32</f>
        <v>#DIV/0!</v>
      </c>
      <c r="D61" s="15" t="e">
        <f t="shared" si="2"/>
        <v>#DIV/0!</v>
      </c>
      <c r="E61" s="16" t="e">
        <f>D61*Wellbore_Pressure!$N$31</f>
        <v>#DIV/0!</v>
      </c>
      <c r="F61" s="16" t="e">
        <f>D61*(Wellbore_Pressure!$N$33)/B61</f>
        <v>#DIV/0!</v>
      </c>
      <c r="G61" s="15" t="e">
        <f t="shared" si="3"/>
        <v>#DIV/0!</v>
      </c>
      <c r="H61" s="16" t="e">
        <f>G61*Wellbore_Pressure!$N$31</f>
        <v>#DIV/0!</v>
      </c>
      <c r="I61" s="16" t="e">
        <f>G61*(Wellbore_Pressure!$N$33)/B61</f>
        <v>#DIV/0!</v>
      </c>
      <c r="J61" s="15" t="e">
        <f t="shared" si="4"/>
        <v>#DIV/0!</v>
      </c>
      <c r="K61" s="16" t="e">
        <f>J61*Wellbore_Pressure!$N$31</f>
        <v>#DIV/0!</v>
      </c>
      <c r="L61" s="16" t="e">
        <f>J61*(Wellbore_Pressure!$N$33)/B61</f>
        <v>#DIV/0!</v>
      </c>
    </row>
    <row r="62" spans="1:12" x14ac:dyDescent="0.25">
      <c r="B62" s="15" t="e">
        <f t="shared" si="5"/>
        <v>#DIV/0!</v>
      </c>
      <c r="C62" s="15" t="e">
        <f>B62*Wellbore_Pressure!$N$32</f>
        <v>#DIV/0!</v>
      </c>
      <c r="D62" s="15" t="e">
        <f t="shared" si="2"/>
        <v>#DIV/0!</v>
      </c>
      <c r="E62" s="16" t="e">
        <f>D62*Wellbore_Pressure!$N$31</f>
        <v>#DIV/0!</v>
      </c>
      <c r="F62" s="16" t="e">
        <f>D62*(Wellbore_Pressure!$N$33)/B62</f>
        <v>#DIV/0!</v>
      </c>
      <c r="G62" s="15" t="e">
        <f t="shared" si="3"/>
        <v>#DIV/0!</v>
      </c>
      <c r="H62" s="16" t="e">
        <f>G62*Wellbore_Pressure!$N$31</f>
        <v>#DIV/0!</v>
      </c>
      <c r="I62" s="16" t="e">
        <f>G62*(Wellbore_Pressure!$N$33)/B62</f>
        <v>#DIV/0!</v>
      </c>
      <c r="J62" s="15" t="e">
        <f t="shared" si="4"/>
        <v>#DIV/0!</v>
      </c>
      <c r="K62" s="16" t="e">
        <f>J62*Wellbore_Pressure!$N$31</f>
        <v>#DIV/0!</v>
      </c>
      <c r="L62" s="16" t="e">
        <f>J62*(Wellbore_Pressure!$N$33)/B62</f>
        <v>#DIV/0!</v>
      </c>
    </row>
    <row r="63" spans="1:12" x14ac:dyDescent="0.25">
      <c r="B63" s="15" t="e">
        <f t="shared" si="5"/>
        <v>#DIV/0!</v>
      </c>
      <c r="C63" s="15" t="e">
        <f>B63*Wellbore_Pressure!$N$32</f>
        <v>#DIV/0!</v>
      </c>
      <c r="D63" s="15" t="e">
        <f t="shared" si="2"/>
        <v>#DIV/0!</v>
      </c>
      <c r="E63" s="16" t="e">
        <f>D63*Wellbore_Pressure!$N$31</f>
        <v>#DIV/0!</v>
      </c>
      <c r="F63" s="16" t="e">
        <f>D63*(Wellbore_Pressure!$N$33)/B63</f>
        <v>#DIV/0!</v>
      </c>
      <c r="G63" s="15" t="e">
        <f t="shared" si="3"/>
        <v>#DIV/0!</v>
      </c>
      <c r="H63" s="16" t="e">
        <f>G63*Wellbore_Pressure!$N$31</f>
        <v>#DIV/0!</v>
      </c>
      <c r="I63" s="16" t="e">
        <f>G63*(Wellbore_Pressure!$N$33)/B63</f>
        <v>#DIV/0!</v>
      </c>
      <c r="J63" s="15" t="e">
        <f t="shared" si="4"/>
        <v>#DIV/0!</v>
      </c>
      <c r="K63" s="16" t="e">
        <f>J63*Wellbore_Pressure!$N$31</f>
        <v>#DIV/0!</v>
      </c>
      <c r="L63" s="16" t="e">
        <f>J63*(Wellbore_Pressure!$N$33)/B63</f>
        <v>#DIV/0!</v>
      </c>
    </row>
    <row r="64" spans="1:12" x14ac:dyDescent="0.25">
      <c r="B64" s="15" t="e">
        <f t="shared" si="5"/>
        <v>#DIV/0!</v>
      </c>
      <c r="C64" s="15" t="e">
        <f>B64*Wellbore_Pressure!$N$32</f>
        <v>#DIV/0!</v>
      </c>
      <c r="D64" s="15" t="e">
        <f t="shared" si="2"/>
        <v>#DIV/0!</v>
      </c>
      <c r="E64" s="16" t="e">
        <f>D64*Wellbore_Pressure!$N$31</f>
        <v>#DIV/0!</v>
      </c>
      <c r="F64" s="16" t="e">
        <f>D64*(Wellbore_Pressure!$N$33)/B64</f>
        <v>#DIV/0!</v>
      </c>
      <c r="G64" s="15" t="e">
        <f t="shared" si="3"/>
        <v>#DIV/0!</v>
      </c>
      <c r="H64" s="16" t="e">
        <f>G64*Wellbore_Pressure!$N$31</f>
        <v>#DIV/0!</v>
      </c>
      <c r="I64" s="16" t="e">
        <f>G64*(Wellbore_Pressure!$N$33)/B64</f>
        <v>#DIV/0!</v>
      </c>
      <c r="J64" s="15" t="e">
        <f t="shared" si="4"/>
        <v>#DIV/0!</v>
      </c>
      <c r="K64" s="16" t="e">
        <f>J64*Wellbore_Pressure!$N$31</f>
        <v>#DIV/0!</v>
      </c>
      <c r="L64" s="16" t="e">
        <f>J64*(Wellbore_Pressure!$N$33)/B64</f>
        <v>#DIV/0!</v>
      </c>
    </row>
    <row r="65" spans="1:12" x14ac:dyDescent="0.25">
      <c r="B65" s="15" t="e">
        <f t="shared" si="5"/>
        <v>#DIV/0!</v>
      </c>
      <c r="C65" s="15" t="e">
        <f>B65*Wellbore_Pressure!$N$32</f>
        <v>#DIV/0!</v>
      </c>
      <c r="D65" s="15" t="e">
        <f t="shared" si="2"/>
        <v>#DIV/0!</v>
      </c>
      <c r="E65" s="16" t="e">
        <f>D65*Wellbore_Pressure!$N$31</f>
        <v>#DIV/0!</v>
      </c>
      <c r="F65" s="16" t="e">
        <f>D65*(Wellbore_Pressure!$N$33)/B65</f>
        <v>#DIV/0!</v>
      </c>
      <c r="G65" s="15" t="e">
        <f t="shared" si="3"/>
        <v>#DIV/0!</v>
      </c>
      <c r="H65" s="16" t="e">
        <f>G65*Wellbore_Pressure!$N$31</f>
        <v>#DIV/0!</v>
      </c>
      <c r="I65" s="16" t="e">
        <f>G65*(Wellbore_Pressure!$N$33)/B65</f>
        <v>#DIV/0!</v>
      </c>
      <c r="J65" s="15" t="e">
        <f t="shared" si="4"/>
        <v>#DIV/0!</v>
      </c>
      <c r="K65" s="16" t="e">
        <f>J65*Wellbore_Pressure!$N$31</f>
        <v>#DIV/0!</v>
      </c>
      <c r="L65" s="16" t="e">
        <f>J65*(Wellbore_Pressure!$N$33)/B65</f>
        <v>#DIV/0!</v>
      </c>
    </row>
    <row r="66" spans="1:12" x14ac:dyDescent="0.25">
      <c r="B66" s="15" t="e">
        <f t="shared" si="5"/>
        <v>#DIV/0!</v>
      </c>
      <c r="C66" s="15" t="e">
        <f>B66*Wellbore_Pressure!$N$32</f>
        <v>#DIV/0!</v>
      </c>
      <c r="D66" s="15" t="e">
        <f t="shared" si="2"/>
        <v>#DIV/0!</v>
      </c>
      <c r="E66" s="16" t="e">
        <f>D66*Wellbore_Pressure!$N$31</f>
        <v>#DIV/0!</v>
      </c>
      <c r="F66" s="16" t="e">
        <f>D66*(Wellbore_Pressure!$N$33)/B66</f>
        <v>#DIV/0!</v>
      </c>
      <c r="G66" s="15" t="e">
        <f t="shared" si="3"/>
        <v>#DIV/0!</v>
      </c>
      <c r="H66" s="16" t="e">
        <f>G66*Wellbore_Pressure!$N$31</f>
        <v>#DIV/0!</v>
      </c>
      <c r="I66" s="16" t="e">
        <f>G66*(Wellbore_Pressure!$N$33)/B66</f>
        <v>#DIV/0!</v>
      </c>
      <c r="J66" s="15" t="e">
        <f t="shared" si="4"/>
        <v>#DIV/0!</v>
      </c>
      <c r="K66" s="16" t="e">
        <f>J66*Wellbore_Pressure!$N$31</f>
        <v>#DIV/0!</v>
      </c>
      <c r="L66" s="16" t="e">
        <f>J66*(Wellbore_Pressure!$N$33)/B66</f>
        <v>#DIV/0!</v>
      </c>
    </row>
    <row r="67" spans="1:12" x14ac:dyDescent="0.25">
      <c r="B67" s="15" t="e">
        <f t="shared" si="5"/>
        <v>#DIV/0!</v>
      </c>
      <c r="C67" s="15" t="e">
        <f>B67*Wellbore_Pressure!$N$32</f>
        <v>#DIV/0!</v>
      </c>
      <c r="D67" s="15" t="e">
        <f t="shared" si="2"/>
        <v>#DIV/0!</v>
      </c>
      <c r="E67" s="16" t="e">
        <f>D67*Wellbore_Pressure!$N$31</f>
        <v>#DIV/0!</v>
      </c>
      <c r="F67" s="16" t="e">
        <f>D67*(Wellbore_Pressure!$N$33)/B67</f>
        <v>#DIV/0!</v>
      </c>
      <c r="G67" s="15" t="e">
        <f t="shared" si="3"/>
        <v>#DIV/0!</v>
      </c>
      <c r="H67" s="16" t="e">
        <f>G67*Wellbore_Pressure!$N$31</f>
        <v>#DIV/0!</v>
      </c>
      <c r="I67" s="16" t="e">
        <f>G67*(Wellbore_Pressure!$N$33)/B67</f>
        <v>#DIV/0!</v>
      </c>
      <c r="J67" s="15" t="e">
        <f t="shared" si="4"/>
        <v>#DIV/0!</v>
      </c>
      <c r="K67" s="16" t="e">
        <f>J67*Wellbore_Pressure!$N$31</f>
        <v>#DIV/0!</v>
      </c>
      <c r="L67" s="16" t="e">
        <f>J67*(Wellbore_Pressure!$N$33)/B67</f>
        <v>#DIV/0!</v>
      </c>
    </row>
    <row r="68" spans="1:12" x14ac:dyDescent="0.25">
      <c r="B68" s="15" t="e">
        <f t="shared" si="5"/>
        <v>#DIV/0!</v>
      </c>
      <c r="C68" s="15" t="e">
        <f>B68*Wellbore_Pressure!$N$32</f>
        <v>#DIV/0!</v>
      </c>
      <c r="D68" s="15" t="e">
        <f t="shared" si="2"/>
        <v>#DIV/0!</v>
      </c>
      <c r="E68" s="16" t="e">
        <f>D68*Wellbore_Pressure!$N$31</f>
        <v>#DIV/0!</v>
      </c>
      <c r="F68" s="16" t="e">
        <f>D68*(Wellbore_Pressure!$N$33)/B68</f>
        <v>#DIV/0!</v>
      </c>
      <c r="G68" s="15" t="e">
        <f t="shared" si="3"/>
        <v>#DIV/0!</v>
      </c>
      <c r="H68" s="16" t="e">
        <f>G68*Wellbore_Pressure!$N$31</f>
        <v>#DIV/0!</v>
      </c>
      <c r="I68" s="16" t="e">
        <f>G68*(Wellbore_Pressure!$N$33)/B68</f>
        <v>#DIV/0!</v>
      </c>
      <c r="J68" s="15" t="e">
        <f t="shared" si="4"/>
        <v>#DIV/0!</v>
      </c>
      <c r="K68" s="16" t="e">
        <f>J68*Wellbore_Pressure!$N$31</f>
        <v>#DIV/0!</v>
      </c>
      <c r="L68" s="16" t="e">
        <f>J68*(Wellbore_Pressure!$N$33)/B68</f>
        <v>#DIV/0!</v>
      </c>
    </row>
    <row r="69" spans="1:12" x14ac:dyDescent="0.25">
      <c r="B69" s="15" t="e">
        <f t="shared" si="5"/>
        <v>#DIV/0!</v>
      </c>
      <c r="C69" s="15" t="e">
        <f>B69*Wellbore_Pressure!$N$32</f>
        <v>#DIV/0!</v>
      </c>
      <c r="D69" s="15" t="e">
        <f t="shared" si="2"/>
        <v>#DIV/0!</v>
      </c>
      <c r="E69" s="16" t="e">
        <f>D69*Wellbore_Pressure!$N$31</f>
        <v>#DIV/0!</v>
      </c>
      <c r="F69" s="16" t="e">
        <f>D69*(Wellbore_Pressure!$N$33)/B69</f>
        <v>#DIV/0!</v>
      </c>
      <c r="G69" s="15" t="e">
        <f t="shared" si="3"/>
        <v>#DIV/0!</v>
      </c>
      <c r="H69" s="16" t="e">
        <f>G69*Wellbore_Pressure!$N$31</f>
        <v>#DIV/0!</v>
      </c>
      <c r="I69" s="16" t="e">
        <f>G69*(Wellbore_Pressure!$N$33)/B69</f>
        <v>#DIV/0!</v>
      </c>
      <c r="J69" s="15" t="e">
        <f t="shared" si="4"/>
        <v>#DIV/0!</v>
      </c>
      <c r="K69" s="16" t="e">
        <f>J69*Wellbore_Pressure!$N$31</f>
        <v>#DIV/0!</v>
      </c>
      <c r="L69" s="16" t="e">
        <f>J69*(Wellbore_Pressure!$N$33)/B69</f>
        <v>#DIV/0!</v>
      </c>
    </row>
    <row r="70" spans="1:12" x14ac:dyDescent="0.25">
      <c r="B70" s="15" t="e">
        <f t="shared" si="5"/>
        <v>#DIV/0!</v>
      </c>
      <c r="C70" s="15" t="e">
        <f>B70*Wellbore_Pressure!$N$32</f>
        <v>#DIV/0!</v>
      </c>
      <c r="D70" s="15" t="e">
        <f t="shared" si="2"/>
        <v>#DIV/0!</v>
      </c>
      <c r="E70" s="16" t="e">
        <f>D70*Wellbore_Pressure!$N$31</f>
        <v>#DIV/0!</v>
      </c>
      <c r="F70" s="16" t="e">
        <f>D70*(Wellbore_Pressure!$N$33)/B70</f>
        <v>#DIV/0!</v>
      </c>
      <c r="G70" s="15" t="e">
        <f t="shared" si="3"/>
        <v>#DIV/0!</v>
      </c>
      <c r="H70" s="16" t="e">
        <f>G70*Wellbore_Pressure!$N$31</f>
        <v>#DIV/0!</v>
      </c>
      <c r="I70" s="16" t="e">
        <f>G70*(Wellbore_Pressure!$N$33)/B70</f>
        <v>#DIV/0!</v>
      </c>
      <c r="J70" s="15" t="e">
        <f t="shared" si="4"/>
        <v>#DIV/0!</v>
      </c>
      <c r="K70" s="16" t="e">
        <f>J70*Wellbore_Pressure!$N$31</f>
        <v>#DIV/0!</v>
      </c>
      <c r="L70" s="16" t="e">
        <f>J70*(Wellbore_Pressure!$N$33)/B70</f>
        <v>#DIV/0!</v>
      </c>
    </row>
    <row r="71" spans="1:12" x14ac:dyDescent="0.25">
      <c r="B71" s="15" t="e">
        <f t="shared" si="5"/>
        <v>#DIV/0!</v>
      </c>
      <c r="C71" s="15" t="e">
        <f>B71*Wellbore_Pressure!$N$32</f>
        <v>#DIV/0!</v>
      </c>
      <c r="D71" s="15" t="e">
        <f t="shared" si="2"/>
        <v>#DIV/0!</v>
      </c>
      <c r="E71" s="16" t="e">
        <f>D71*Wellbore_Pressure!$N$31</f>
        <v>#DIV/0!</v>
      </c>
      <c r="F71" s="16" t="e">
        <f>D71*(Wellbore_Pressure!$N$33)/B71</f>
        <v>#DIV/0!</v>
      </c>
      <c r="G71" s="15" t="e">
        <f t="shared" si="3"/>
        <v>#DIV/0!</v>
      </c>
      <c r="H71" s="16" t="e">
        <f>G71*Wellbore_Pressure!$N$31</f>
        <v>#DIV/0!</v>
      </c>
      <c r="I71" s="16" t="e">
        <f>G71*(Wellbore_Pressure!$N$33)/B71</f>
        <v>#DIV/0!</v>
      </c>
      <c r="J71" s="15" t="e">
        <f t="shared" si="4"/>
        <v>#DIV/0!</v>
      </c>
      <c r="K71" s="16" t="e">
        <f>J71*Wellbore_Pressure!$N$31</f>
        <v>#DIV/0!</v>
      </c>
      <c r="L71" s="16" t="e">
        <f>J71*(Wellbore_Pressure!$N$33)/B71</f>
        <v>#DIV/0!</v>
      </c>
    </row>
    <row r="72" spans="1:12" x14ac:dyDescent="0.25">
      <c r="B72" s="15" t="e">
        <f t="shared" si="5"/>
        <v>#DIV/0!</v>
      </c>
      <c r="C72" s="15" t="e">
        <f>B72*Wellbore_Pressure!$N$32</f>
        <v>#DIV/0!</v>
      </c>
      <c r="D72" s="15" t="e">
        <f t="shared" si="2"/>
        <v>#DIV/0!</v>
      </c>
      <c r="E72" s="16" t="e">
        <f>D72*Wellbore_Pressure!$N$31</f>
        <v>#DIV/0!</v>
      </c>
      <c r="F72" s="16" t="e">
        <f>D72*(Wellbore_Pressure!$N$33)/B72</f>
        <v>#DIV/0!</v>
      </c>
      <c r="G72" s="15" t="e">
        <f t="shared" si="3"/>
        <v>#DIV/0!</v>
      </c>
      <c r="H72" s="16" t="e">
        <f>G72*Wellbore_Pressure!$N$31</f>
        <v>#DIV/0!</v>
      </c>
      <c r="I72" s="16" t="e">
        <f>G72*(Wellbore_Pressure!$N$33)/B72</f>
        <v>#DIV/0!</v>
      </c>
      <c r="J72" s="15" t="e">
        <f t="shared" si="4"/>
        <v>#DIV/0!</v>
      </c>
      <c r="K72" s="16" t="e">
        <f>J72*Wellbore_Pressure!$N$31</f>
        <v>#DIV/0!</v>
      </c>
      <c r="L72" s="16" t="e">
        <f>J72*(Wellbore_Pressure!$N$33)/B72</f>
        <v>#DIV/0!</v>
      </c>
    </row>
    <row r="73" spans="1:12" x14ac:dyDescent="0.25">
      <c r="B73" s="15" t="e">
        <f t="shared" si="5"/>
        <v>#DIV/0!</v>
      </c>
      <c r="C73" s="15" t="e">
        <f>B73*Wellbore_Pressure!$N$32</f>
        <v>#DIV/0!</v>
      </c>
      <c r="D73" s="15" t="e">
        <f t="shared" si="2"/>
        <v>#DIV/0!</v>
      </c>
      <c r="E73" s="16" t="e">
        <f>D73*Wellbore_Pressure!$N$31</f>
        <v>#DIV/0!</v>
      </c>
      <c r="F73" s="16" t="e">
        <f>D73*(Wellbore_Pressure!$N$33)/B73</f>
        <v>#DIV/0!</v>
      </c>
      <c r="G73" s="15" t="e">
        <f t="shared" si="3"/>
        <v>#DIV/0!</v>
      </c>
      <c r="H73" s="16" t="e">
        <f>G73*Wellbore_Pressure!$N$31</f>
        <v>#DIV/0!</v>
      </c>
      <c r="I73" s="16" t="e">
        <f>G73*(Wellbore_Pressure!$N$33)/B73</f>
        <v>#DIV/0!</v>
      </c>
      <c r="J73" s="15" t="e">
        <f t="shared" si="4"/>
        <v>#DIV/0!</v>
      </c>
      <c r="K73" s="16" t="e">
        <f>J73*Wellbore_Pressure!$N$31</f>
        <v>#DIV/0!</v>
      </c>
      <c r="L73" s="16" t="e">
        <f>J73*(Wellbore_Pressure!$N$33)/B73</f>
        <v>#DIV/0!</v>
      </c>
    </row>
    <row r="74" spans="1:12" x14ac:dyDescent="0.25">
      <c r="A74" s="27" t="s">
        <v>5</v>
      </c>
      <c r="B74" s="28" t="e">
        <f>IF(Hydro_Litho_Pp!B7=Hydro_Litho_Pp!AH28,Hydro_Litho_Pp!B9,(Hydro_Litho_Pp!B9/Wellbore_Pressure!N32))</f>
        <v>#DIV/0!</v>
      </c>
      <c r="C74" s="28" t="e">
        <f>B74*Wellbore_Pressure!$N$32</f>
        <v>#DIV/0!</v>
      </c>
      <c r="D74" s="28">
        <f>Hydro_Litho_Pp!AI31</f>
        <v>0</v>
      </c>
      <c r="E74" s="29">
        <f>D74*Wellbore_Pressure!$N$31</f>
        <v>0</v>
      </c>
      <c r="F74" s="29" t="e">
        <f>D74*(Wellbore_Pressure!$N$33)/B74</f>
        <v>#DIV/0!</v>
      </c>
      <c r="G74" s="28">
        <f>D74</f>
        <v>0</v>
      </c>
      <c r="H74" s="29">
        <f>G74*Wellbore_Pressure!$N$31</f>
        <v>0</v>
      </c>
      <c r="I74" s="29" t="e">
        <f>G74*(Wellbore_Pressure!$N$33)/B74</f>
        <v>#DIV/0!</v>
      </c>
      <c r="J74" s="28">
        <f>D74</f>
        <v>0</v>
      </c>
      <c r="K74" s="29">
        <f>J74*Wellbore_Pressure!$N$31</f>
        <v>0</v>
      </c>
      <c r="L74" s="29" t="e">
        <f>J74*(Wellbore_Pressure!$N$33)/B74</f>
        <v>#DIV/0!</v>
      </c>
    </row>
  </sheetData>
  <mergeCells count="11">
    <mergeCell ref="M1:N4"/>
    <mergeCell ref="D52:F52"/>
    <mergeCell ref="G52:I52"/>
    <mergeCell ref="J52:L52"/>
    <mergeCell ref="B52:C52"/>
    <mergeCell ref="A3:D3"/>
    <mergeCell ref="B9:D9"/>
    <mergeCell ref="E9:G9"/>
    <mergeCell ref="H9:J9"/>
    <mergeCell ref="A1:J1"/>
    <mergeCell ref="M27:O27"/>
  </mergeCells>
  <dataValidations disablePrompts="1" count="1">
    <dataValidation type="list" allowBlank="1" showInputMessage="1" showErrorMessage="1" sqref="B4" xr:uid="{00000000-0002-0000-0100-000000000000}">
      <formula1>gradients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3"/>
  <sheetViews>
    <sheetView zoomScaleNormal="100" workbookViewId="0">
      <selection activeCell="B4" sqref="B4"/>
    </sheetView>
  </sheetViews>
  <sheetFormatPr defaultColWidth="8.85546875" defaultRowHeight="15" x14ac:dyDescent="0.25"/>
  <cols>
    <col min="1" max="1" width="23.140625" style="21" customWidth="1"/>
    <col min="2" max="2" width="10.7109375" style="10" customWidth="1"/>
    <col min="3" max="3" width="11.140625" style="10" customWidth="1"/>
    <col min="4" max="4" width="8.85546875" style="21"/>
    <col min="5" max="5" width="8.85546875" style="21" customWidth="1"/>
    <col min="6" max="6" width="8.85546875" style="21"/>
    <col min="7" max="7" width="8.7109375" style="21" customWidth="1"/>
    <col min="8" max="8" width="9.85546875" style="21" customWidth="1"/>
    <col min="9" max="11" width="9.42578125" style="21" customWidth="1"/>
    <col min="12" max="16384" width="8.85546875" style="21"/>
  </cols>
  <sheetData>
    <row r="1" spans="1:23" ht="18.75" x14ac:dyDescent="0.3">
      <c r="A1" s="133" t="s">
        <v>28</v>
      </c>
      <c r="B1" s="133"/>
      <c r="C1" s="133"/>
      <c r="D1" s="133"/>
      <c r="E1" s="70"/>
      <c r="F1" s="70"/>
      <c r="G1" s="119" t="s">
        <v>15</v>
      </c>
      <c r="H1" s="120"/>
      <c r="I1" s="72"/>
      <c r="J1" s="73" t="s">
        <v>18</v>
      </c>
      <c r="K1" s="74"/>
      <c r="L1" s="75"/>
      <c r="M1" s="76"/>
      <c r="N1" s="76"/>
      <c r="O1" s="77"/>
      <c r="P1" s="77"/>
      <c r="Q1" s="77"/>
      <c r="R1" s="78"/>
      <c r="S1" s="71"/>
      <c r="T1" s="71"/>
      <c r="U1" s="71"/>
      <c r="V1" s="71"/>
      <c r="W1" s="71"/>
    </row>
    <row r="2" spans="1:23" ht="15" customHeight="1" x14ac:dyDescent="0.25">
      <c r="G2" s="121"/>
      <c r="H2" s="122"/>
      <c r="I2" s="82"/>
      <c r="J2" s="82" t="s">
        <v>32</v>
      </c>
      <c r="K2" s="82"/>
      <c r="L2" s="82"/>
      <c r="M2" s="82"/>
      <c r="N2" s="82" t="s">
        <v>53</v>
      </c>
      <c r="O2" s="82"/>
      <c r="P2" s="82"/>
      <c r="Q2" s="82"/>
      <c r="R2" s="84"/>
    </row>
    <row r="3" spans="1:23" x14ac:dyDescent="0.25">
      <c r="A3" s="33" t="s">
        <v>29</v>
      </c>
      <c r="B3" s="44">
        <v>0</v>
      </c>
      <c r="G3" s="121"/>
      <c r="H3" s="122"/>
      <c r="I3" s="82"/>
      <c r="J3" s="81" t="s">
        <v>14</v>
      </c>
      <c r="K3" s="82"/>
      <c r="L3" s="82"/>
      <c r="M3" s="82"/>
      <c r="N3" s="82" t="s">
        <v>54</v>
      </c>
      <c r="O3" s="82"/>
      <c r="P3" s="82"/>
      <c r="Q3" s="82"/>
      <c r="R3" s="84"/>
    </row>
    <row r="4" spans="1:23" x14ac:dyDescent="0.25">
      <c r="G4" s="123"/>
      <c r="H4" s="124"/>
      <c r="I4" s="79"/>
      <c r="J4" s="79"/>
      <c r="K4" s="79"/>
      <c r="L4" s="79"/>
      <c r="M4" s="79"/>
      <c r="N4" s="79"/>
      <c r="O4" s="79"/>
      <c r="P4" s="79"/>
      <c r="Q4" s="79"/>
      <c r="R4" s="80"/>
    </row>
    <row r="5" spans="1:23" x14ac:dyDescent="0.25">
      <c r="A5" s="148" t="s">
        <v>52</v>
      </c>
      <c r="B5" s="148"/>
      <c r="C5" s="148"/>
      <c r="D5" s="148"/>
    </row>
    <row r="6" spans="1:23" x14ac:dyDescent="0.25">
      <c r="A6" s="95" t="s">
        <v>17</v>
      </c>
      <c r="B6" s="147" t="s">
        <v>32</v>
      </c>
      <c r="C6" s="147"/>
      <c r="D6" s="147"/>
    </row>
    <row r="7" spans="1:23" x14ac:dyDescent="0.25">
      <c r="A7" s="47" t="str">
        <f>IF(Hydro_Litho_Pp!$F$3=Hydro_Litho_Pp!$AC$31,"meters","feet")</f>
        <v>feet</v>
      </c>
      <c r="B7" s="47" t="str">
        <f>IF(Hydro_Litho_Pp!F3=Hydro_Litho_Pp!$AC$31,"MPa","PSI")</f>
        <v>PSI</v>
      </c>
      <c r="C7" s="15" t="str">
        <f>IF(Hydro_Litho_Pp!F3=Hydro_Litho_Pp!$AC$31,"u* (mpa)","u* (psi)")</f>
        <v>u* (psi)</v>
      </c>
      <c r="D7" s="47" t="s">
        <v>26</v>
      </c>
      <c r="K7" s="17"/>
    </row>
    <row r="8" spans="1:23" x14ac:dyDescent="0.25">
      <c r="A8" s="68">
        <f>Hydro_Litho_Pp!B9</f>
        <v>18000</v>
      </c>
      <c r="B8" s="68">
        <f>($B$3*(Hydro_Litho_Pp!D52-Hydro_Litho_Pp!E8))+Hydro_Litho_Pp!E8</f>
        <v>12000</v>
      </c>
      <c r="C8" s="57">
        <f>B8-Hydro_Litho_Pp!B52</f>
        <v>4080</v>
      </c>
      <c r="D8" s="69">
        <f>IF(Hydro_Litho_Pp!$F$3=Hydro_Litho_Pp!$AC$30,(B8/A8)*(1/0.052),((B8*0.3048)/(A8*0.00689475729*0.052)))</f>
        <v>12.820512820512819</v>
      </c>
      <c r="K8" s="12"/>
    </row>
    <row r="9" spans="1:23" x14ac:dyDescent="0.25">
      <c r="K9" s="14"/>
    </row>
    <row r="10" spans="1:23" x14ac:dyDescent="0.25">
      <c r="A10" s="149" t="s">
        <v>30</v>
      </c>
      <c r="B10" s="149"/>
      <c r="C10" s="149"/>
      <c r="D10" s="149"/>
      <c r="K10" s="14"/>
    </row>
    <row r="11" spans="1:23" x14ac:dyDescent="0.25">
      <c r="A11" s="33" t="s">
        <v>17</v>
      </c>
      <c r="B11" s="147" t="s">
        <v>32</v>
      </c>
      <c r="C11" s="147"/>
      <c r="D11" s="147"/>
      <c r="K11" s="14"/>
    </row>
    <row r="12" spans="1:23" x14ac:dyDescent="0.25">
      <c r="A12" s="18" t="str">
        <f>IF(Hydro_Litho_Pp!$F$3=Hydro_Litho_Pp!$AC$31,"meters","feet")</f>
        <v>feet</v>
      </c>
      <c r="B12" s="58" t="str">
        <f>IF(Hydro_Litho_Pp!F3=Hydro_Litho_Pp!$AC$31,"MPa","PSI")</f>
        <v>PSI</v>
      </c>
      <c r="C12" s="15" t="str">
        <f>IF(Hydro_Litho_Pp!F3=Hydro_Litho_Pp!$AC$31,"u* (mpa)","u* (psi)")</f>
        <v>u* (psi)</v>
      </c>
      <c r="D12" s="58" t="s">
        <v>26</v>
      </c>
      <c r="K12" s="14"/>
    </row>
    <row r="13" spans="1:23" x14ac:dyDescent="0.25">
      <c r="A13" s="41">
        <f>Hydro_Litho_Pp!A32</f>
        <v>5000</v>
      </c>
      <c r="B13" s="55">
        <f>($B$3*(Hydro_Litho_Pp!D32-Hydro_Litho_Pp!B32))+Hydro_Litho_Pp!B32</f>
        <v>2200</v>
      </c>
      <c r="C13" s="55">
        <f>B13-Hydro_Litho_Pp!B32</f>
        <v>0</v>
      </c>
      <c r="D13" s="54">
        <f>IF(Hydro_Litho_Pp!$F$3=Hydro_Litho_Pp!$AC$30,(B13/A13)*(1/0.052),((B13*0.3048)/(A13*0.00689475729*0.052)))</f>
        <v>8.4615384615384617</v>
      </c>
      <c r="F13" s="10"/>
      <c r="K13" s="14"/>
    </row>
    <row r="14" spans="1:23" x14ac:dyDescent="0.25">
      <c r="A14" s="15">
        <f>Hydro_Litho_Pp!A33</f>
        <v>5650</v>
      </c>
      <c r="B14" s="25">
        <f>($B$3*(Hydro_Litho_Pp!D33-Hydro_Litho_Pp!B33))+Hydro_Litho_Pp!B33</f>
        <v>2486</v>
      </c>
      <c r="C14" s="25">
        <f>B14-Hydro_Litho_Pp!B33</f>
        <v>0</v>
      </c>
      <c r="D14" s="16">
        <f>IF(Hydro_Litho_Pp!$F$3=Hydro_Litho_Pp!$AC$30,(B14/A14)*(1/0.052),((B14*0.3048)/(A14*0.00689475729*0.052)))</f>
        <v>8.4615384615384617</v>
      </c>
      <c r="K14" s="14"/>
    </row>
    <row r="15" spans="1:23" x14ac:dyDescent="0.25">
      <c r="A15" s="15">
        <f>Hydro_Litho_Pp!A34</f>
        <v>6300</v>
      </c>
      <c r="B15" s="25">
        <f>($B$3*(Hydro_Litho_Pp!D34-Hydro_Litho_Pp!B34))+Hydro_Litho_Pp!B34</f>
        <v>2772</v>
      </c>
      <c r="C15" s="25">
        <f>B15-Hydro_Litho_Pp!B34</f>
        <v>0</v>
      </c>
      <c r="D15" s="16">
        <f>IF(Hydro_Litho_Pp!$F$3=Hydro_Litho_Pp!$AC$30,(B15/A15)*(1/0.052),((B15*0.3048)/(A15*0.00689475729*0.052)))</f>
        <v>8.4615384615384617</v>
      </c>
      <c r="K15" s="14"/>
    </row>
    <row r="16" spans="1:23" x14ac:dyDescent="0.25">
      <c r="A16" s="15">
        <f>Hydro_Litho_Pp!A35</f>
        <v>6950</v>
      </c>
      <c r="B16" s="25">
        <f>($B$3*(Hydro_Litho_Pp!D35-Hydro_Litho_Pp!B35))+Hydro_Litho_Pp!B35</f>
        <v>3058</v>
      </c>
      <c r="C16" s="25">
        <f>B16-Hydro_Litho_Pp!B35</f>
        <v>0</v>
      </c>
      <c r="D16" s="16">
        <f>IF(Hydro_Litho_Pp!$F$3=Hydro_Litho_Pp!$AC$30,(B16/A16)*(1/0.052),((B16*0.3048)/(A16*0.00689475729*0.052)))</f>
        <v>8.4615384615384617</v>
      </c>
      <c r="K16" s="14"/>
    </row>
    <row r="17" spans="1:11" x14ac:dyDescent="0.25">
      <c r="A17" s="15">
        <f>Hydro_Litho_Pp!A36</f>
        <v>7600</v>
      </c>
      <c r="B17" s="25">
        <f>($B$3*(Hydro_Litho_Pp!D36-Hydro_Litho_Pp!B36))+Hydro_Litho_Pp!B36</f>
        <v>3344</v>
      </c>
      <c r="C17" s="25">
        <f>B17-Hydro_Litho_Pp!B36</f>
        <v>0</v>
      </c>
      <c r="D17" s="16">
        <f>IF(Hydro_Litho_Pp!$F$3=Hydro_Litho_Pp!$AC$30,(B17/A17)*(1/0.052),((B17*0.3048)/(A17*0.00689475729*0.052)))</f>
        <v>8.4615384615384617</v>
      </c>
      <c r="K17" s="14"/>
    </row>
    <row r="18" spans="1:11" x14ac:dyDescent="0.25">
      <c r="A18" s="15">
        <f>Hydro_Litho_Pp!A37</f>
        <v>8250</v>
      </c>
      <c r="B18" s="25">
        <f>($B$3*(Hydro_Litho_Pp!D37-Hydro_Litho_Pp!B37))+Hydro_Litho_Pp!B37</f>
        <v>3630</v>
      </c>
      <c r="C18" s="25">
        <f>B18-Hydro_Litho_Pp!B37</f>
        <v>0</v>
      </c>
      <c r="D18" s="16">
        <f>IF(Hydro_Litho_Pp!$F$3=Hydro_Litho_Pp!$AC$30,(B18/A18)*(1/0.052),((B18*0.3048)/(A18*0.00689475729*0.052)))</f>
        <v>8.4615384615384617</v>
      </c>
      <c r="K18" s="14"/>
    </row>
    <row r="19" spans="1:11" x14ac:dyDescent="0.25">
      <c r="A19" s="15">
        <f>Hydro_Litho_Pp!A38</f>
        <v>8900</v>
      </c>
      <c r="B19" s="25">
        <f>($B$3*(Hydro_Litho_Pp!D38-Hydro_Litho_Pp!B38))+Hydro_Litho_Pp!B38</f>
        <v>3916</v>
      </c>
      <c r="C19" s="25">
        <f>B19-Hydro_Litho_Pp!B38</f>
        <v>0</v>
      </c>
      <c r="D19" s="16">
        <f>IF(Hydro_Litho_Pp!$F$3=Hydro_Litho_Pp!$AC$30,(B19/A19)*(1/0.052),((B19*0.3048)/(A19*0.00689475729*0.052)))</f>
        <v>8.4615384615384617</v>
      </c>
      <c r="K19" s="14"/>
    </row>
    <row r="20" spans="1:11" x14ac:dyDescent="0.25">
      <c r="A20" s="15">
        <f>Hydro_Litho_Pp!A39</f>
        <v>9550</v>
      </c>
      <c r="B20" s="25">
        <f>($B$3*(Hydro_Litho_Pp!D39-Hydro_Litho_Pp!B39))+Hydro_Litho_Pp!B39</f>
        <v>4202</v>
      </c>
      <c r="C20" s="25">
        <f>B20-Hydro_Litho_Pp!B39</f>
        <v>0</v>
      </c>
      <c r="D20" s="16">
        <f>IF(Hydro_Litho_Pp!$F$3=Hydro_Litho_Pp!$AC$30,(B20/A20)*(1/0.052),((B20*0.3048)/(A20*0.00689475729*0.052)))</f>
        <v>8.4615384615384617</v>
      </c>
      <c r="K20" s="14"/>
    </row>
    <row r="21" spans="1:11" x14ac:dyDescent="0.25">
      <c r="A21" s="15">
        <f>Hydro_Litho_Pp!A40</f>
        <v>10200</v>
      </c>
      <c r="B21" s="25">
        <f>($B$3*(Hydro_Litho_Pp!D40-Hydro_Litho_Pp!B40))+Hydro_Litho_Pp!B40</f>
        <v>4488</v>
      </c>
      <c r="C21" s="25">
        <f>B21-Hydro_Litho_Pp!B40</f>
        <v>0</v>
      </c>
      <c r="D21" s="16">
        <f>IF(Hydro_Litho_Pp!$F$3=Hydro_Litho_Pp!$AC$30,(B21/A21)*(1/0.052),((B21*0.3048)/(A21*0.00689475729*0.052)))</f>
        <v>8.4615384615384617</v>
      </c>
      <c r="K21" s="14"/>
    </row>
    <row r="22" spans="1:11" x14ac:dyDescent="0.25">
      <c r="A22" s="15">
        <f>Hydro_Litho_Pp!A41</f>
        <v>10850</v>
      </c>
      <c r="B22" s="25">
        <f>($B$3*(Hydro_Litho_Pp!D41-Hydro_Litho_Pp!B41))+Hydro_Litho_Pp!B41</f>
        <v>4774</v>
      </c>
      <c r="C22" s="25">
        <f>B22-Hydro_Litho_Pp!B41</f>
        <v>0</v>
      </c>
      <c r="D22" s="16">
        <f>IF(Hydro_Litho_Pp!$F$3=Hydro_Litho_Pp!$AC$30,(B22/A22)*(1/0.052),((B22*0.3048)/(A22*0.00689475729*0.052)))</f>
        <v>8.4615384615384617</v>
      </c>
      <c r="K22" s="14"/>
    </row>
    <row r="23" spans="1:11" x14ac:dyDescent="0.25">
      <c r="A23" s="15">
        <f>Hydro_Litho_Pp!A42</f>
        <v>11500</v>
      </c>
      <c r="B23" s="25">
        <f>($B$3*(Hydro_Litho_Pp!D42-Hydro_Litho_Pp!B42))+Hydro_Litho_Pp!B42</f>
        <v>5060</v>
      </c>
      <c r="C23" s="25">
        <f>B23-Hydro_Litho_Pp!B42</f>
        <v>0</v>
      </c>
      <c r="D23" s="16">
        <f>IF(Hydro_Litho_Pp!$F$3=Hydro_Litho_Pp!$AC$30,(B23/A23)*(1/0.052),((B23*0.3048)/(A23*0.00689475729*0.052)))</f>
        <v>8.4615384615384617</v>
      </c>
      <c r="K23" s="14"/>
    </row>
    <row r="24" spans="1:11" x14ac:dyDescent="0.25">
      <c r="A24" s="15">
        <f>Hydro_Litho_Pp!A43</f>
        <v>12150</v>
      </c>
      <c r="B24" s="25">
        <f>($B$3*(Hydro_Litho_Pp!D43-Hydro_Litho_Pp!B43))+Hydro_Litho_Pp!B43</f>
        <v>5346</v>
      </c>
      <c r="C24" s="25">
        <f>B24-Hydro_Litho_Pp!B43</f>
        <v>0</v>
      </c>
      <c r="D24" s="16">
        <f>IF(Hydro_Litho_Pp!$F$3=Hydro_Litho_Pp!$AC$30,(B24/A24)*(1/0.052),((B24*0.3048)/(A24*0.00689475729*0.052)))</f>
        <v>8.4615384615384617</v>
      </c>
      <c r="K24" s="14"/>
    </row>
    <row r="25" spans="1:11" x14ac:dyDescent="0.25">
      <c r="A25" s="15">
        <f>Hydro_Litho_Pp!A44</f>
        <v>12800</v>
      </c>
      <c r="B25" s="25">
        <f>($B$3*(Hydro_Litho_Pp!D44-Hydro_Litho_Pp!B44))+Hydro_Litho_Pp!B44</f>
        <v>5632</v>
      </c>
      <c r="C25" s="25">
        <f>B25-Hydro_Litho_Pp!B44</f>
        <v>0</v>
      </c>
      <c r="D25" s="16">
        <f>IF(Hydro_Litho_Pp!$F$3=Hydro_Litho_Pp!$AC$30,(B25/A25)*(1/0.052),((B25*0.3048)/(A25*0.00689475729*0.052)))</f>
        <v>8.4615384615384617</v>
      </c>
      <c r="K25" s="14"/>
    </row>
    <row r="26" spans="1:11" x14ac:dyDescent="0.25">
      <c r="A26" s="15">
        <f>Hydro_Litho_Pp!A45</f>
        <v>13450</v>
      </c>
      <c r="B26" s="25">
        <f>($B$3*(Hydro_Litho_Pp!D45-Hydro_Litho_Pp!B45))+Hydro_Litho_Pp!B45</f>
        <v>5918</v>
      </c>
      <c r="C26" s="25">
        <f>B26-Hydro_Litho_Pp!B45</f>
        <v>0</v>
      </c>
      <c r="D26" s="16">
        <f>IF(Hydro_Litho_Pp!$F$3=Hydro_Litho_Pp!$AC$30,(B26/A26)*(1/0.052),((B26*0.3048)/(A26*0.00689475729*0.052)))</f>
        <v>8.4615384615384617</v>
      </c>
      <c r="K26" s="14"/>
    </row>
    <row r="27" spans="1:11" x14ac:dyDescent="0.25">
      <c r="A27" s="15">
        <f>Hydro_Litho_Pp!A46</f>
        <v>14100</v>
      </c>
      <c r="B27" s="25">
        <f>($B$3*(Hydro_Litho_Pp!D46-Hydro_Litho_Pp!B46))+Hydro_Litho_Pp!B46</f>
        <v>6204</v>
      </c>
      <c r="C27" s="25">
        <f>B27-Hydro_Litho_Pp!B46</f>
        <v>0</v>
      </c>
      <c r="D27" s="16">
        <f>IF(Hydro_Litho_Pp!$F$3=Hydro_Litho_Pp!$AC$30,(B27/A27)*(1/0.052),((B27*0.3048)/(A27*0.00689475729*0.052)))</f>
        <v>8.4615384615384617</v>
      </c>
      <c r="G27" s="115" t="s">
        <v>59</v>
      </c>
      <c r="H27" s="115"/>
      <c r="I27" s="115"/>
      <c r="K27" s="14"/>
    </row>
    <row r="28" spans="1:11" x14ac:dyDescent="0.25">
      <c r="A28" s="15">
        <f>Hydro_Litho_Pp!A47</f>
        <v>14750</v>
      </c>
      <c r="B28" s="25">
        <f>($B$3*(Hydro_Litho_Pp!D47-Hydro_Litho_Pp!B47))+Hydro_Litho_Pp!B47</f>
        <v>6490</v>
      </c>
      <c r="C28" s="25">
        <f>B28-Hydro_Litho_Pp!B47</f>
        <v>0</v>
      </c>
      <c r="D28" s="16">
        <f>IF(Hydro_Litho_Pp!$F$3=Hydro_Litho_Pp!$AC$30,(B28/A28)*(1/0.052),((B28*0.3048)/(A28*0.00689475729*0.052)))</f>
        <v>8.4615384615384617</v>
      </c>
      <c r="K28" s="14"/>
    </row>
    <row r="29" spans="1:11" x14ac:dyDescent="0.25">
      <c r="A29" s="15">
        <f>Hydro_Litho_Pp!A48</f>
        <v>15400</v>
      </c>
      <c r="B29" s="25">
        <f>($B$3*(Hydro_Litho_Pp!D48-Hydro_Litho_Pp!B48))+Hydro_Litho_Pp!B48</f>
        <v>6776</v>
      </c>
      <c r="C29" s="25">
        <f>B29-Hydro_Litho_Pp!B48</f>
        <v>0</v>
      </c>
      <c r="D29" s="16">
        <f>IF(Hydro_Litho_Pp!$F$3=Hydro_Litho_Pp!$AC$30,(B29/A29)*(1/0.052),((B29*0.3048)/(A29*0.00689475729*0.052)))</f>
        <v>8.4615384615384617</v>
      </c>
      <c r="K29" s="14"/>
    </row>
    <row r="30" spans="1:11" x14ac:dyDescent="0.25">
      <c r="A30" s="15">
        <f>Hydro_Litho_Pp!A49</f>
        <v>16050</v>
      </c>
      <c r="B30" s="25">
        <f>($B$3*(Hydro_Litho_Pp!D49-Hydro_Litho_Pp!B49))+Hydro_Litho_Pp!B49</f>
        <v>7062</v>
      </c>
      <c r="C30" s="25">
        <f>B30-Hydro_Litho_Pp!B49</f>
        <v>0</v>
      </c>
      <c r="D30" s="16">
        <f>IF(Hydro_Litho_Pp!$F$3=Hydro_Litho_Pp!$AC$30,(B30/A30)*(1/0.052),((B30*0.3048)/(A30*0.00689475729*0.052)))</f>
        <v>8.4615384615384617</v>
      </c>
      <c r="K30" s="14"/>
    </row>
    <row r="31" spans="1:11" x14ac:dyDescent="0.25">
      <c r="A31" s="15">
        <f>Hydro_Litho_Pp!A50</f>
        <v>16700</v>
      </c>
      <c r="B31" s="25">
        <f>($B$3*(Hydro_Litho_Pp!D50-Hydro_Litho_Pp!B50))+Hydro_Litho_Pp!B50</f>
        <v>7348</v>
      </c>
      <c r="C31" s="25">
        <f>B31-Hydro_Litho_Pp!B50</f>
        <v>0</v>
      </c>
      <c r="D31" s="16">
        <f>IF(Hydro_Litho_Pp!$F$3=Hydro_Litho_Pp!$AC$30,(B31/A31)*(1/0.052),((B31*0.3048)/(A31*0.00689475729*0.052)))</f>
        <v>8.4615384615384617</v>
      </c>
      <c r="K31" s="14"/>
    </row>
    <row r="32" spans="1:11" x14ac:dyDescent="0.25">
      <c r="A32" s="15">
        <f>Hydro_Litho_Pp!A51</f>
        <v>17350</v>
      </c>
      <c r="B32" s="25">
        <f>($B$3*(Hydro_Litho_Pp!D51-Hydro_Litho_Pp!B51))+Hydro_Litho_Pp!B51</f>
        <v>7634</v>
      </c>
      <c r="C32" s="25">
        <f>B32-Hydro_Litho_Pp!B51</f>
        <v>0</v>
      </c>
      <c r="D32" s="16">
        <f>IF(Hydro_Litho_Pp!$F$3=Hydro_Litho_Pp!$AC$30,(B32/A32)*(1/0.052),((B32*0.3048)/(A32*0.00689475729*0.052)))</f>
        <v>8.4615384615384617</v>
      </c>
      <c r="K32" s="14"/>
    </row>
    <row r="33" spans="1:11" x14ac:dyDescent="0.25">
      <c r="A33" s="42">
        <f>Hydro_Litho_Pp!A52</f>
        <v>18000</v>
      </c>
      <c r="B33" s="57">
        <f>($B$3*(Hydro_Litho_Pp!D52-Hydro_Litho_Pp!B52))+Hydro_Litho_Pp!B52</f>
        <v>7920</v>
      </c>
      <c r="C33" s="57">
        <f>B33-Hydro_Litho_Pp!B52</f>
        <v>0</v>
      </c>
      <c r="D33" s="56">
        <f>IF(Hydro_Litho_Pp!$F$3=Hydro_Litho_Pp!$AC$30,(B33/A33)*(1/0.052),((B33*0.3048)/(A33*0.00689475729*0.052)))</f>
        <v>8.4615384615384617</v>
      </c>
      <c r="K33" s="14"/>
    </row>
    <row r="34" spans="1:11" x14ac:dyDescent="0.25">
      <c r="A34" s="15">
        <f>Hydro_Litho_Pp!A53</f>
        <v>18200</v>
      </c>
      <c r="B34" s="25">
        <f>($B$3*(Hydro_Litho_Pp!D53-Hydro_Litho_Pp!B53))+Hydro_Litho_Pp!B53</f>
        <v>8008</v>
      </c>
      <c r="C34" s="25">
        <f>B34-Hydro_Litho_Pp!B53</f>
        <v>0</v>
      </c>
      <c r="D34" s="16">
        <f>IF(Hydro_Litho_Pp!$F$3=Hydro_Litho_Pp!$AC$30,(B34/A34)*(1/0.052),((B34*0.3048)/(A34*0.00689475729*0.052)))</f>
        <v>8.4615384615384617</v>
      </c>
      <c r="K34" s="14"/>
    </row>
    <row r="35" spans="1:11" x14ac:dyDescent="0.25">
      <c r="A35" s="15">
        <f>Hydro_Litho_Pp!A54</f>
        <v>18400</v>
      </c>
      <c r="B35" s="25">
        <f>($B$3*(Hydro_Litho_Pp!D54-Hydro_Litho_Pp!B54))+Hydro_Litho_Pp!B54</f>
        <v>8096</v>
      </c>
      <c r="C35" s="25">
        <f>B35-Hydro_Litho_Pp!B54</f>
        <v>0</v>
      </c>
      <c r="D35" s="16">
        <f>IF(Hydro_Litho_Pp!$F$3=Hydro_Litho_Pp!$AC$30,(B35/A35)*(1/0.052),((B35*0.3048)/(A35*0.00689475729*0.052)))</f>
        <v>8.4615384615384617</v>
      </c>
      <c r="K35" s="14"/>
    </row>
    <row r="36" spans="1:11" x14ac:dyDescent="0.25">
      <c r="A36" s="15">
        <f>Hydro_Litho_Pp!A55</f>
        <v>18600</v>
      </c>
      <c r="B36" s="25">
        <f>($B$3*(Hydro_Litho_Pp!D55-Hydro_Litho_Pp!B55))+Hydro_Litho_Pp!B55</f>
        <v>8184</v>
      </c>
      <c r="C36" s="25">
        <f>B36-Hydro_Litho_Pp!B55</f>
        <v>0</v>
      </c>
      <c r="D36" s="16">
        <f>IF(Hydro_Litho_Pp!$F$3=Hydro_Litho_Pp!$AC$30,(B36/A36)*(1/0.052),((B36*0.3048)/(A36*0.00689475729*0.052)))</f>
        <v>8.4615384615384617</v>
      </c>
      <c r="K36" s="14"/>
    </row>
    <row r="37" spans="1:11" x14ac:dyDescent="0.25">
      <c r="A37" s="15">
        <f>Hydro_Litho_Pp!A56</f>
        <v>18800</v>
      </c>
      <c r="B37" s="25">
        <f>($B$3*(Hydro_Litho_Pp!D56-Hydro_Litho_Pp!B56))+Hydro_Litho_Pp!B56</f>
        <v>8272</v>
      </c>
      <c r="C37" s="25">
        <f>B37-Hydro_Litho_Pp!B56</f>
        <v>0</v>
      </c>
      <c r="D37" s="16">
        <f>IF(Hydro_Litho_Pp!$F$3=Hydro_Litho_Pp!$AC$30,(B37/A37)*(1/0.052),((B37*0.3048)/(A37*0.00689475729*0.052)))</f>
        <v>8.4615384615384617</v>
      </c>
      <c r="K37" s="14"/>
    </row>
    <row r="38" spans="1:11" x14ac:dyDescent="0.25">
      <c r="A38" s="15">
        <f>Hydro_Litho_Pp!A57</f>
        <v>19000</v>
      </c>
      <c r="B38" s="25">
        <f>($B$3*(Hydro_Litho_Pp!D57-Hydro_Litho_Pp!B57))+Hydro_Litho_Pp!B57</f>
        <v>8360</v>
      </c>
      <c r="C38" s="25">
        <f>B38-Hydro_Litho_Pp!B57</f>
        <v>0</v>
      </c>
      <c r="D38" s="16">
        <f>IF(Hydro_Litho_Pp!$F$3=Hydro_Litho_Pp!$AC$30,(B38/A38)*(1/0.052),((B38*0.3048)/(A38*0.00689475729*0.052)))</f>
        <v>8.4615384615384617</v>
      </c>
      <c r="K38" s="14"/>
    </row>
    <row r="39" spans="1:11" x14ac:dyDescent="0.25">
      <c r="A39" s="15">
        <f>Hydro_Litho_Pp!A58</f>
        <v>19200</v>
      </c>
      <c r="B39" s="25">
        <f>($B$3*(Hydro_Litho_Pp!D58-Hydro_Litho_Pp!B58))+Hydro_Litho_Pp!B58</f>
        <v>8448</v>
      </c>
      <c r="C39" s="25">
        <f>B39-Hydro_Litho_Pp!B58</f>
        <v>0</v>
      </c>
      <c r="D39" s="16">
        <f>IF(Hydro_Litho_Pp!$F$3=Hydro_Litho_Pp!$AC$30,(B39/A39)*(1/0.052),((B39*0.3048)/(A39*0.00689475729*0.052)))</f>
        <v>8.4615384615384617</v>
      </c>
      <c r="K39" s="14"/>
    </row>
    <row r="40" spans="1:11" x14ac:dyDescent="0.25">
      <c r="A40" s="15">
        <f>Hydro_Litho_Pp!A59</f>
        <v>19400</v>
      </c>
      <c r="B40" s="25">
        <f>($B$3*(Hydro_Litho_Pp!D59-Hydro_Litho_Pp!B59))+Hydro_Litho_Pp!B59</f>
        <v>8536</v>
      </c>
      <c r="C40" s="25">
        <f>B40-Hydro_Litho_Pp!B59</f>
        <v>0</v>
      </c>
      <c r="D40" s="16">
        <f>IF(Hydro_Litho_Pp!$F$3=Hydro_Litho_Pp!$AC$30,(B40/A40)*(1/0.052),((B40*0.3048)/(A40*0.00689475729*0.052)))</f>
        <v>8.4615384615384617</v>
      </c>
    </row>
    <row r="41" spans="1:11" x14ac:dyDescent="0.25">
      <c r="A41" s="15">
        <f>Hydro_Litho_Pp!A60</f>
        <v>19600</v>
      </c>
      <c r="B41" s="25">
        <f>($B$3*(Hydro_Litho_Pp!D60-Hydro_Litho_Pp!B60))+Hydro_Litho_Pp!B60</f>
        <v>8624</v>
      </c>
      <c r="C41" s="25">
        <f>B41-Hydro_Litho_Pp!B60</f>
        <v>0</v>
      </c>
      <c r="D41" s="16">
        <f>IF(Hydro_Litho_Pp!$F$3=Hydro_Litho_Pp!$AC$30,(B41/A41)*(1/0.052),((B41*0.3048)/(A41*0.00689475729*0.052)))</f>
        <v>8.4615384615384617</v>
      </c>
    </row>
    <row r="42" spans="1:11" x14ac:dyDescent="0.25">
      <c r="A42" s="15">
        <f>Hydro_Litho_Pp!A61</f>
        <v>19800</v>
      </c>
      <c r="B42" s="25">
        <f>($B$3*(Hydro_Litho_Pp!D61-Hydro_Litho_Pp!B61))+Hydro_Litho_Pp!B61</f>
        <v>8712</v>
      </c>
      <c r="C42" s="25">
        <f>B42-Hydro_Litho_Pp!B61</f>
        <v>0</v>
      </c>
      <c r="D42" s="16">
        <f>IF(Hydro_Litho_Pp!$F$3=Hydro_Litho_Pp!$AC$30,(B42/A42)*(1/0.052),((B42*0.3048)/(A42*0.00689475729*0.052)))</f>
        <v>8.4615384615384617</v>
      </c>
    </row>
    <row r="43" spans="1:11" x14ac:dyDescent="0.25">
      <c r="A43" s="43">
        <f>Hydro_Litho_Pp!A62</f>
        <v>20000</v>
      </c>
      <c r="B43" s="53">
        <f>($B$3*(Hydro_Litho_Pp!D62-Hydro_Litho_Pp!B62))+Hydro_Litho_Pp!B62</f>
        <v>8800</v>
      </c>
      <c r="C43" s="53">
        <f>B43-Hydro_Litho_Pp!B62</f>
        <v>0</v>
      </c>
      <c r="D43" s="52">
        <f>IF(Hydro_Litho_Pp!$F$3=Hydro_Litho_Pp!$AC$30,(B43/A43)*(1/0.052),((B43*0.3048)/(A43*0.00689475729*0.052)))</f>
        <v>8.4615384615384617</v>
      </c>
    </row>
    <row r="59" spans="1:10" x14ac:dyDescent="0.25">
      <c r="B59" s="132" t="s">
        <v>17</v>
      </c>
      <c r="C59" s="132"/>
      <c r="D59" s="132" t="s">
        <v>31</v>
      </c>
      <c r="E59" s="132"/>
      <c r="F59" s="132" t="s">
        <v>14</v>
      </c>
      <c r="G59" s="132"/>
      <c r="H59" s="132" t="s">
        <v>32</v>
      </c>
      <c r="I59" s="132"/>
      <c r="J59" s="132"/>
    </row>
    <row r="60" spans="1:10" x14ac:dyDescent="0.25">
      <c r="B60" s="18" t="s">
        <v>1</v>
      </c>
      <c r="C60" s="18" t="s">
        <v>2</v>
      </c>
      <c r="D60" s="18" t="s">
        <v>6</v>
      </c>
      <c r="E60" s="18" t="s">
        <v>7</v>
      </c>
      <c r="F60" s="18" t="s">
        <v>6</v>
      </c>
      <c r="G60" s="18" t="s">
        <v>7</v>
      </c>
      <c r="H60" s="18" t="s">
        <v>6</v>
      </c>
      <c r="I60" s="18" t="s">
        <v>7</v>
      </c>
      <c r="J60" s="18" t="s">
        <v>26</v>
      </c>
    </row>
    <row r="61" spans="1:10" x14ac:dyDescent="0.25">
      <c r="A61" s="27" t="s">
        <v>3</v>
      </c>
      <c r="B61" s="28" t="e">
        <f>#REF!</f>
        <v>#REF!</v>
      </c>
      <c r="C61" s="28" t="e">
        <f>#REF!</f>
        <v>#REF!</v>
      </c>
      <c r="D61" s="28" t="e">
        <f>#REF!</f>
        <v>#REF!</v>
      </c>
      <c r="E61" s="29" t="e">
        <f>#REF!</f>
        <v>#REF!</v>
      </c>
      <c r="F61" s="28" t="e">
        <f>#REF!</f>
        <v>#REF!</v>
      </c>
      <c r="G61" s="29" t="e">
        <f>#REF!</f>
        <v>#REF!</v>
      </c>
      <c r="H61" s="28" t="e">
        <f>($B$3*(F61-D61))+D61</f>
        <v>#REF!</v>
      </c>
      <c r="I61" s="29" t="e">
        <f>($B$3*(G61-E61))+E61</f>
        <v>#REF!</v>
      </c>
      <c r="J61" s="29" t="e">
        <f>H61*(Wellbore_Pressure!$N$33)/B61</f>
        <v>#REF!</v>
      </c>
    </row>
    <row r="62" spans="1:10" x14ac:dyDescent="0.25">
      <c r="B62" s="15" t="e">
        <f>#REF!</f>
        <v>#REF!</v>
      </c>
      <c r="C62" s="15" t="e">
        <f>#REF!</f>
        <v>#REF!</v>
      </c>
      <c r="D62" s="15" t="e">
        <f>#REF!</f>
        <v>#REF!</v>
      </c>
      <c r="E62" s="16" t="e">
        <f>#REF!</f>
        <v>#REF!</v>
      </c>
      <c r="F62" s="15" t="e">
        <f>#REF!</f>
        <v>#REF!</v>
      </c>
      <c r="G62" s="16" t="e">
        <f>#REF!</f>
        <v>#REF!</v>
      </c>
      <c r="H62" s="15" t="e">
        <f t="shared" ref="H62:H91" si="0">($B$3*(F62-D62))+D62</f>
        <v>#REF!</v>
      </c>
      <c r="I62" s="16" t="e">
        <f t="shared" ref="I62:I91" si="1">($B$3*(G62-E62))+E62</f>
        <v>#REF!</v>
      </c>
      <c r="J62" s="16" t="e">
        <f>H62*(Wellbore_Pressure!$N$33)/B62</f>
        <v>#REF!</v>
      </c>
    </row>
    <row r="63" spans="1:10" x14ac:dyDescent="0.25">
      <c r="B63" s="15" t="e">
        <f>#REF!</f>
        <v>#REF!</v>
      </c>
      <c r="C63" s="15" t="e">
        <f>#REF!</f>
        <v>#REF!</v>
      </c>
      <c r="D63" s="15" t="e">
        <f>#REF!</f>
        <v>#REF!</v>
      </c>
      <c r="E63" s="16" t="e">
        <f>#REF!</f>
        <v>#REF!</v>
      </c>
      <c r="F63" s="15" t="e">
        <f>#REF!</f>
        <v>#REF!</v>
      </c>
      <c r="G63" s="16" t="e">
        <f>#REF!</f>
        <v>#REF!</v>
      </c>
      <c r="H63" s="15" t="e">
        <f t="shared" si="0"/>
        <v>#REF!</v>
      </c>
      <c r="I63" s="16" t="e">
        <f t="shared" si="1"/>
        <v>#REF!</v>
      </c>
      <c r="J63" s="16" t="e">
        <f>H63*(Wellbore_Pressure!$N$33)/B63</f>
        <v>#REF!</v>
      </c>
    </row>
    <row r="64" spans="1:10" x14ac:dyDescent="0.25">
      <c r="B64" s="15" t="e">
        <f>#REF!</f>
        <v>#REF!</v>
      </c>
      <c r="C64" s="15" t="e">
        <f>#REF!</f>
        <v>#REF!</v>
      </c>
      <c r="D64" s="15" t="e">
        <f>#REF!</f>
        <v>#REF!</v>
      </c>
      <c r="E64" s="16" t="e">
        <f>#REF!</f>
        <v>#REF!</v>
      </c>
      <c r="F64" s="15" t="e">
        <f>#REF!</f>
        <v>#REF!</v>
      </c>
      <c r="G64" s="16" t="e">
        <f>#REF!</f>
        <v>#REF!</v>
      </c>
      <c r="H64" s="15" t="e">
        <f t="shared" si="0"/>
        <v>#REF!</v>
      </c>
      <c r="I64" s="16" t="e">
        <f t="shared" si="1"/>
        <v>#REF!</v>
      </c>
      <c r="J64" s="16" t="e">
        <f>H64*(Wellbore_Pressure!$N$33)/B64</f>
        <v>#REF!</v>
      </c>
    </row>
    <row r="65" spans="2:10" x14ac:dyDescent="0.25">
      <c r="B65" s="15" t="e">
        <f>#REF!</f>
        <v>#REF!</v>
      </c>
      <c r="C65" s="15" t="e">
        <f>#REF!</f>
        <v>#REF!</v>
      </c>
      <c r="D65" s="15" t="e">
        <f>#REF!</f>
        <v>#REF!</v>
      </c>
      <c r="E65" s="16" t="e">
        <f>#REF!</f>
        <v>#REF!</v>
      </c>
      <c r="F65" s="15" t="e">
        <f>#REF!</f>
        <v>#REF!</v>
      </c>
      <c r="G65" s="16" t="e">
        <f>#REF!</f>
        <v>#REF!</v>
      </c>
      <c r="H65" s="15" t="e">
        <f t="shared" si="0"/>
        <v>#REF!</v>
      </c>
      <c r="I65" s="16" t="e">
        <f t="shared" si="1"/>
        <v>#REF!</v>
      </c>
      <c r="J65" s="16" t="e">
        <f>H65*(Wellbore_Pressure!$N$33)/B65</f>
        <v>#REF!</v>
      </c>
    </row>
    <row r="66" spans="2:10" x14ac:dyDescent="0.25">
      <c r="B66" s="15" t="e">
        <f>#REF!</f>
        <v>#REF!</v>
      </c>
      <c r="C66" s="15" t="e">
        <f>#REF!</f>
        <v>#REF!</v>
      </c>
      <c r="D66" s="15" t="e">
        <f>#REF!</f>
        <v>#REF!</v>
      </c>
      <c r="E66" s="16" t="e">
        <f>#REF!</f>
        <v>#REF!</v>
      </c>
      <c r="F66" s="15" t="e">
        <f>#REF!</f>
        <v>#REF!</v>
      </c>
      <c r="G66" s="16" t="e">
        <f>#REF!</f>
        <v>#REF!</v>
      </c>
      <c r="H66" s="15" t="e">
        <f t="shared" si="0"/>
        <v>#REF!</v>
      </c>
      <c r="I66" s="16" t="e">
        <f t="shared" si="1"/>
        <v>#REF!</v>
      </c>
      <c r="J66" s="16" t="e">
        <f>H66*(Wellbore_Pressure!$N$33)/B66</f>
        <v>#REF!</v>
      </c>
    </row>
    <row r="67" spans="2:10" x14ac:dyDescent="0.25">
      <c r="B67" s="15" t="e">
        <f>#REF!</f>
        <v>#REF!</v>
      </c>
      <c r="C67" s="15" t="e">
        <f>#REF!</f>
        <v>#REF!</v>
      </c>
      <c r="D67" s="15" t="e">
        <f>#REF!</f>
        <v>#REF!</v>
      </c>
      <c r="E67" s="16" t="e">
        <f>#REF!</f>
        <v>#REF!</v>
      </c>
      <c r="F67" s="15" t="e">
        <f>#REF!</f>
        <v>#REF!</v>
      </c>
      <c r="G67" s="16" t="e">
        <f>#REF!</f>
        <v>#REF!</v>
      </c>
      <c r="H67" s="15" t="e">
        <f t="shared" si="0"/>
        <v>#REF!</v>
      </c>
      <c r="I67" s="16" t="e">
        <f t="shared" si="1"/>
        <v>#REF!</v>
      </c>
      <c r="J67" s="16" t="e">
        <f>H67*(Wellbore_Pressure!$N$33)/B67</f>
        <v>#REF!</v>
      </c>
    </row>
    <row r="68" spans="2:10" x14ac:dyDescent="0.25">
      <c r="B68" s="15" t="e">
        <f>#REF!</f>
        <v>#REF!</v>
      </c>
      <c r="C68" s="15" t="e">
        <f>#REF!</f>
        <v>#REF!</v>
      </c>
      <c r="D68" s="15" t="e">
        <f>#REF!</f>
        <v>#REF!</v>
      </c>
      <c r="E68" s="16" t="e">
        <f>#REF!</f>
        <v>#REF!</v>
      </c>
      <c r="F68" s="15" t="e">
        <f>#REF!</f>
        <v>#REF!</v>
      </c>
      <c r="G68" s="16" t="e">
        <f>#REF!</f>
        <v>#REF!</v>
      </c>
      <c r="H68" s="15" t="e">
        <f t="shared" si="0"/>
        <v>#REF!</v>
      </c>
      <c r="I68" s="16" t="e">
        <f t="shared" si="1"/>
        <v>#REF!</v>
      </c>
      <c r="J68" s="16" t="e">
        <f>H68*(Wellbore_Pressure!$N$33)/B68</f>
        <v>#REF!</v>
      </c>
    </row>
    <row r="69" spans="2:10" x14ac:dyDescent="0.25">
      <c r="B69" s="15" t="e">
        <f>#REF!</f>
        <v>#REF!</v>
      </c>
      <c r="C69" s="15" t="e">
        <f>#REF!</f>
        <v>#REF!</v>
      </c>
      <c r="D69" s="15" t="e">
        <f>#REF!</f>
        <v>#REF!</v>
      </c>
      <c r="E69" s="16" t="e">
        <f>#REF!</f>
        <v>#REF!</v>
      </c>
      <c r="F69" s="15" t="e">
        <f>#REF!</f>
        <v>#REF!</v>
      </c>
      <c r="G69" s="16" t="e">
        <f>#REF!</f>
        <v>#REF!</v>
      </c>
      <c r="H69" s="15" t="e">
        <f t="shared" si="0"/>
        <v>#REF!</v>
      </c>
      <c r="I69" s="16" t="e">
        <f t="shared" si="1"/>
        <v>#REF!</v>
      </c>
      <c r="J69" s="16" t="e">
        <f>H69*(Wellbore_Pressure!$N$33)/B69</f>
        <v>#REF!</v>
      </c>
    </row>
    <row r="70" spans="2:10" x14ac:dyDescent="0.25">
      <c r="B70" s="15" t="e">
        <f>#REF!</f>
        <v>#REF!</v>
      </c>
      <c r="C70" s="15" t="e">
        <f>#REF!</f>
        <v>#REF!</v>
      </c>
      <c r="D70" s="15" t="e">
        <f>#REF!</f>
        <v>#REF!</v>
      </c>
      <c r="E70" s="16" t="e">
        <f>#REF!</f>
        <v>#REF!</v>
      </c>
      <c r="F70" s="15" t="e">
        <f>#REF!</f>
        <v>#REF!</v>
      </c>
      <c r="G70" s="16" t="e">
        <f>#REF!</f>
        <v>#REF!</v>
      </c>
      <c r="H70" s="15" t="e">
        <f t="shared" si="0"/>
        <v>#REF!</v>
      </c>
      <c r="I70" s="16" t="e">
        <f t="shared" si="1"/>
        <v>#REF!</v>
      </c>
      <c r="J70" s="16" t="e">
        <f>H70*(Wellbore_Pressure!$N$33)/B70</f>
        <v>#REF!</v>
      </c>
    </row>
    <row r="71" spans="2:10" x14ac:dyDescent="0.25">
      <c r="B71" s="15" t="e">
        <f>#REF!</f>
        <v>#REF!</v>
      </c>
      <c r="C71" s="15" t="e">
        <f>#REF!</f>
        <v>#REF!</v>
      </c>
      <c r="D71" s="15" t="e">
        <f>#REF!</f>
        <v>#REF!</v>
      </c>
      <c r="E71" s="16" t="e">
        <f>#REF!</f>
        <v>#REF!</v>
      </c>
      <c r="F71" s="15" t="e">
        <f>#REF!</f>
        <v>#REF!</v>
      </c>
      <c r="G71" s="16" t="e">
        <f>#REF!</f>
        <v>#REF!</v>
      </c>
      <c r="H71" s="15" t="e">
        <f t="shared" si="0"/>
        <v>#REF!</v>
      </c>
      <c r="I71" s="16" t="e">
        <f t="shared" si="1"/>
        <v>#REF!</v>
      </c>
      <c r="J71" s="16" t="e">
        <f>H71*(Wellbore_Pressure!$N$33)/B71</f>
        <v>#REF!</v>
      </c>
    </row>
    <row r="72" spans="2:10" x14ac:dyDescent="0.25">
      <c r="B72" s="15" t="e">
        <f>#REF!</f>
        <v>#REF!</v>
      </c>
      <c r="C72" s="15" t="e">
        <f>#REF!</f>
        <v>#REF!</v>
      </c>
      <c r="D72" s="15" t="e">
        <f>#REF!</f>
        <v>#REF!</v>
      </c>
      <c r="E72" s="16" t="e">
        <f>#REF!</f>
        <v>#REF!</v>
      </c>
      <c r="F72" s="15" t="e">
        <f>#REF!</f>
        <v>#REF!</v>
      </c>
      <c r="G72" s="16" t="e">
        <f>#REF!</f>
        <v>#REF!</v>
      </c>
      <c r="H72" s="15" t="e">
        <f t="shared" si="0"/>
        <v>#REF!</v>
      </c>
      <c r="I72" s="16" t="e">
        <f t="shared" si="1"/>
        <v>#REF!</v>
      </c>
      <c r="J72" s="16" t="e">
        <f>H72*(Wellbore_Pressure!$N$33)/B72</f>
        <v>#REF!</v>
      </c>
    </row>
    <row r="73" spans="2:10" x14ac:dyDescent="0.25">
      <c r="B73" s="15" t="e">
        <f>#REF!</f>
        <v>#REF!</v>
      </c>
      <c r="C73" s="15" t="e">
        <f>#REF!</f>
        <v>#REF!</v>
      </c>
      <c r="D73" s="15" t="e">
        <f>#REF!</f>
        <v>#REF!</v>
      </c>
      <c r="E73" s="16" t="e">
        <f>#REF!</f>
        <v>#REF!</v>
      </c>
      <c r="F73" s="15" t="e">
        <f>#REF!</f>
        <v>#REF!</v>
      </c>
      <c r="G73" s="16" t="e">
        <f>#REF!</f>
        <v>#REF!</v>
      </c>
      <c r="H73" s="15" t="e">
        <f t="shared" si="0"/>
        <v>#REF!</v>
      </c>
      <c r="I73" s="16" t="e">
        <f t="shared" si="1"/>
        <v>#REF!</v>
      </c>
      <c r="J73" s="16" t="e">
        <f>H73*(Wellbore_Pressure!$N$33)/B73</f>
        <v>#REF!</v>
      </c>
    </row>
    <row r="74" spans="2:10" x14ac:dyDescent="0.25">
      <c r="B74" s="15" t="e">
        <f>#REF!</f>
        <v>#REF!</v>
      </c>
      <c r="C74" s="15" t="e">
        <f>#REF!</f>
        <v>#REF!</v>
      </c>
      <c r="D74" s="15" t="e">
        <f>#REF!</f>
        <v>#REF!</v>
      </c>
      <c r="E74" s="16" t="e">
        <f>#REF!</f>
        <v>#REF!</v>
      </c>
      <c r="F74" s="15" t="e">
        <f>#REF!</f>
        <v>#REF!</v>
      </c>
      <c r="G74" s="16" t="e">
        <f>#REF!</f>
        <v>#REF!</v>
      </c>
      <c r="H74" s="15" t="e">
        <f t="shared" si="0"/>
        <v>#REF!</v>
      </c>
      <c r="I74" s="16" t="e">
        <f t="shared" si="1"/>
        <v>#REF!</v>
      </c>
      <c r="J74" s="16" t="e">
        <f>H74*(Wellbore_Pressure!$N$33)/B74</f>
        <v>#REF!</v>
      </c>
    </row>
    <row r="75" spans="2:10" x14ac:dyDescent="0.25">
      <c r="B75" s="15" t="e">
        <f>#REF!</f>
        <v>#REF!</v>
      </c>
      <c r="C75" s="15" t="e">
        <f>#REF!</f>
        <v>#REF!</v>
      </c>
      <c r="D75" s="15" t="e">
        <f>#REF!</f>
        <v>#REF!</v>
      </c>
      <c r="E75" s="16" t="e">
        <f>#REF!</f>
        <v>#REF!</v>
      </c>
      <c r="F75" s="15" t="e">
        <f>#REF!</f>
        <v>#REF!</v>
      </c>
      <c r="G75" s="16" t="e">
        <f>#REF!</f>
        <v>#REF!</v>
      </c>
      <c r="H75" s="15" t="e">
        <f t="shared" si="0"/>
        <v>#REF!</v>
      </c>
      <c r="I75" s="16" t="e">
        <f t="shared" si="1"/>
        <v>#REF!</v>
      </c>
      <c r="J75" s="16" t="e">
        <f>H75*(Wellbore_Pressure!$N$33)/B75</f>
        <v>#REF!</v>
      </c>
    </row>
    <row r="76" spans="2:10" x14ac:dyDescent="0.25">
      <c r="B76" s="15" t="e">
        <f>#REF!</f>
        <v>#REF!</v>
      </c>
      <c r="C76" s="15" t="e">
        <f>#REF!</f>
        <v>#REF!</v>
      </c>
      <c r="D76" s="15" t="e">
        <f>#REF!</f>
        <v>#REF!</v>
      </c>
      <c r="E76" s="16" t="e">
        <f>#REF!</f>
        <v>#REF!</v>
      </c>
      <c r="F76" s="15" t="e">
        <f>#REF!</f>
        <v>#REF!</v>
      </c>
      <c r="G76" s="16" t="e">
        <f>#REF!</f>
        <v>#REF!</v>
      </c>
      <c r="H76" s="15" t="e">
        <f t="shared" si="0"/>
        <v>#REF!</v>
      </c>
      <c r="I76" s="16" t="e">
        <f t="shared" si="1"/>
        <v>#REF!</v>
      </c>
      <c r="J76" s="16" t="e">
        <f>H76*(Wellbore_Pressure!$N$33)/B76</f>
        <v>#REF!</v>
      </c>
    </row>
    <row r="77" spans="2:10" x14ac:dyDescent="0.25">
      <c r="B77" s="15" t="e">
        <f>#REF!</f>
        <v>#REF!</v>
      </c>
      <c r="C77" s="15" t="e">
        <f>#REF!</f>
        <v>#REF!</v>
      </c>
      <c r="D77" s="15" t="e">
        <f>#REF!</f>
        <v>#REF!</v>
      </c>
      <c r="E77" s="16" t="e">
        <f>#REF!</f>
        <v>#REF!</v>
      </c>
      <c r="F77" s="15" t="e">
        <f>#REF!</f>
        <v>#REF!</v>
      </c>
      <c r="G77" s="16" t="e">
        <f>#REF!</f>
        <v>#REF!</v>
      </c>
      <c r="H77" s="15" t="e">
        <f t="shared" si="0"/>
        <v>#REF!</v>
      </c>
      <c r="I77" s="16" t="e">
        <f t="shared" si="1"/>
        <v>#REF!</v>
      </c>
      <c r="J77" s="16" t="e">
        <f>H77*(Wellbore_Pressure!$N$33)/B77</f>
        <v>#REF!</v>
      </c>
    </row>
    <row r="78" spans="2:10" x14ac:dyDescent="0.25">
      <c r="B78" s="15" t="e">
        <f>#REF!</f>
        <v>#REF!</v>
      </c>
      <c r="C78" s="15" t="e">
        <f>#REF!</f>
        <v>#REF!</v>
      </c>
      <c r="D78" s="15" t="e">
        <f>#REF!</f>
        <v>#REF!</v>
      </c>
      <c r="E78" s="16" t="e">
        <f>#REF!</f>
        <v>#REF!</v>
      </c>
      <c r="F78" s="15" t="e">
        <f>#REF!</f>
        <v>#REF!</v>
      </c>
      <c r="G78" s="16" t="e">
        <f>#REF!</f>
        <v>#REF!</v>
      </c>
      <c r="H78" s="15" t="e">
        <f t="shared" si="0"/>
        <v>#REF!</v>
      </c>
      <c r="I78" s="16" t="e">
        <f t="shared" si="1"/>
        <v>#REF!</v>
      </c>
      <c r="J78" s="16" t="e">
        <f>H78*(Wellbore_Pressure!$N$33)/B78</f>
        <v>#REF!</v>
      </c>
    </row>
    <row r="79" spans="2:10" x14ac:dyDescent="0.25">
      <c r="B79" s="15" t="e">
        <f>#REF!</f>
        <v>#REF!</v>
      </c>
      <c r="C79" s="15" t="e">
        <f>#REF!</f>
        <v>#REF!</v>
      </c>
      <c r="D79" s="15" t="e">
        <f>#REF!</f>
        <v>#REF!</v>
      </c>
      <c r="E79" s="16" t="e">
        <f>#REF!</f>
        <v>#REF!</v>
      </c>
      <c r="F79" s="15" t="e">
        <f>#REF!</f>
        <v>#REF!</v>
      </c>
      <c r="G79" s="16" t="e">
        <f>#REF!</f>
        <v>#REF!</v>
      </c>
      <c r="H79" s="15" t="e">
        <f t="shared" si="0"/>
        <v>#REF!</v>
      </c>
      <c r="I79" s="16" t="e">
        <f t="shared" si="1"/>
        <v>#REF!</v>
      </c>
      <c r="J79" s="16" t="e">
        <f>H79*(Wellbore_Pressure!$N$33)/B79</f>
        <v>#REF!</v>
      </c>
    </row>
    <row r="80" spans="2:10" x14ac:dyDescent="0.25">
      <c r="B80" s="15" t="e">
        <f>#REF!</f>
        <v>#REF!</v>
      </c>
      <c r="C80" s="15" t="e">
        <f>#REF!</f>
        <v>#REF!</v>
      </c>
      <c r="D80" s="15" t="e">
        <f>#REF!</f>
        <v>#REF!</v>
      </c>
      <c r="E80" s="16" t="e">
        <f>#REF!</f>
        <v>#REF!</v>
      </c>
      <c r="F80" s="15" t="e">
        <f>#REF!</f>
        <v>#REF!</v>
      </c>
      <c r="G80" s="16" t="e">
        <f>#REF!</f>
        <v>#REF!</v>
      </c>
      <c r="H80" s="15" t="e">
        <f t="shared" si="0"/>
        <v>#REF!</v>
      </c>
      <c r="I80" s="16" t="e">
        <f t="shared" si="1"/>
        <v>#REF!</v>
      </c>
      <c r="J80" s="16" t="e">
        <f>H80*(Wellbore_Pressure!$N$33)/B80</f>
        <v>#REF!</v>
      </c>
    </row>
    <row r="81" spans="1:10" x14ac:dyDescent="0.25">
      <c r="A81" s="27" t="s">
        <v>5</v>
      </c>
      <c r="B81" s="28" t="e">
        <f>#REF!</f>
        <v>#REF!</v>
      </c>
      <c r="C81" s="28" t="e">
        <f>#REF!</f>
        <v>#REF!</v>
      </c>
      <c r="D81" s="28" t="e">
        <f>#REF!</f>
        <v>#REF!</v>
      </c>
      <c r="E81" s="29" t="e">
        <f>#REF!</f>
        <v>#REF!</v>
      </c>
      <c r="F81" s="28" t="e">
        <f>#REF!</f>
        <v>#REF!</v>
      </c>
      <c r="G81" s="29" t="e">
        <f>#REF!</f>
        <v>#REF!</v>
      </c>
      <c r="H81" s="28" t="e">
        <f>($B$3*(F81-D81))+D81</f>
        <v>#REF!</v>
      </c>
      <c r="I81" s="29" t="e">
        <f>($B$3*(G81-E81))+E81</f>
        <v>#REF!</v>
      </c>
      <c r="J81" s="29" t="e">
        <f>H81*(Wellbore_Pressure!$N$33)/B81</f>
        <v>#REF!</v>
      </c>
    </row>
    <row r="82" spans="1:10" x14ac:dyDescent="0.25">
      <c r="B82" s="15" t="e">
        <f>#REF!</f>
        <v>#REF!</v>
      </c>
      <c r="C82" s="15" t="e">
        <f>#REF!</f>
        <v>#REF!</v>
      </c>
      <c r="D82" s="15" t="e">
        <f>#REF!</f>
        <v>#REF!</v>
      </c>
      <c r="E82" s="16" t="e">
        <f>#REF!</f>
        <v>#REF!</v>
      </c>
      <c r="F82" s="15" t="e">
        <f>#REF!</f>
        <v>#REF!</v>
      </c>
      <c r="G82" s="16" t="e">
        <f>#REF!</f>
        <v>#REF!</v>
      </c>
      <c r="H82" s="15" t="e">
        <f t="shared" si="0"/>
        <v>#REF!</v>
      </c>
      <c r="I82" s="16" t="e">
        <f t="shared" si="1"/>
        <v>#REF!</v>
      </c>
      <c r="J82" s="16" t="e">
        <f>H82*(Wellbore_Pressure!$N$33)/B82</f>
        <v>#REF!</v>
      </c>
    </row>
    <row r="83" spans="1:10" x14ac:dyDescent="0.25">
      <c r="B83" s="15" t="e">
        <f>#REF!</f>
        <v>#REF!</v>
      </c>
      <c r="C83" s="15" t="e">
        <f>#REF!</f>
        <v>#REF!</v>
      </c>
      <c r="D83" s="15" t="e">
        <f>#REF!</f>
        <v>#REF!</v>
      </c>
      <c r="E83" s="16" t="e">
        <f>#REF!</f>
        <v>#REF!</v>
      </c>
      <c r="F83" s="15" t="e">
        <f>#REF!</f>
        <v>#REF!</v>
      </c>
      <c r="G83" s="16" t="e">
        <f>#REF!</f>
        <v>#REF!</v>
      </c>
      <c r="H83" s="15" t="e">
        <f t="shared" si="0"/>
        <v>#REF!</v>
      </c>
      <c r="I83" s="16" t="e">
        <f t="shared" si="1"/>
        <v>#REF!</v>
      </c>
      <c r="J83" s="16" t="e">
        <f>H83*(Wellbore_Pressure!$N$33)/B83</f>
        <v>#REF!</v>
      </c>
    </row>
    <row r="84" spans="1:10" x14ac:dyDescent="0.25">
      <c r="B84" s="15" t="e">
        <f>#REF!</f>
        <v>#REF!</v>
      </c>
      <c r="C84" s="15" t="e">
        <f>#REF!</f>
        <v>#REF!</v>
      </c>
      <c r="D84" s="15" t="e">
        <f>#REF!</f>
        <v>#REF!</v>
      </c>
      <c r="E84" s="16" t="e">
        <f>#REF!</f>
        <v>#REF!</v>
      </c>
      <c r="F84" s="15" t="e">
        <f>#REF!</f>
        <v>#REF!</v>
      </c>
      <c r="G84" s="16" t="e">
        <f>#REF!</f>
        <v>#REF!</v>
      </c>
      <c r="H84" s="15" t="e">
        <f t="shared" si="0"/>
        <v>#REF!</v>
      </c>
      <c r="I84" s="16" t="e">
        <f t="shared" si="1"/>
        <v>#REF!</v>
      </c>
      <c r="J84" s="16" t="e">
        <f>H84*(Wellbore_Pressure!$N$33)/B84</f>
        <v>#REF!</v>
      </c>
    </row>
    <row r="85" spans="1:10" x14ac:dyDescent="0.25">
      <c r="B85" s="15" t="e">
        <f>#REF!</f>
        <v>#REF!</v>
      </c>
      <c r="C85" s="15" t="e">
        <f>#REF!</f>
        <v>#REF!</v>
      </c>
      <c r="D85" s="15" t="e">
        <f>#REF!</f>
        <v>#REF!</v>
      </c>
      <c r="E85" s="16" t="e">
        <f>#REF!</f>
        <v>#REF!</v>
      </c>
      <c r="F85" s="15" t="e">
        <f>#REF!</f>
        <v>#REF!</v>
      </c>
      <c r="G85" s="16" t="e">
        <f>#REF!</f>
        <v>#REF!</v>
      </c>
      <c r="H85" s="15" t="e">
        <f t="shared" si="0"/>
        <v>#REF!</v>
      </c>
      <c r="I85" s="16" t="e">
        <f t="shared" si="1"/>
        <v>#REF!</v>
      </c>
      <c r="J85" s="16" t="e">
        <f>H85*(Wellbore_Pressure!$N$33)/B85</f>
        <v>#REF!</v>
      </c>
    </row>
    <row r="86" spans="1:10" x14ac:dyDescent="0.25">
      <c r="B86" s="15" t="e">
        <f>#REF!</f>
        <v>#REF!</v>
      </c>
      <c r="C86" s="15" t="e">
        <f>#REF!</f>
        <v>#REF!</v>
      </c>
      <c r="D86" s="15" t="e">
        <f>#REF!</f>
        <v>#REF!</v>
      </c>
      <c r="E86" s="16" t="e">
        <f>#REF!</f>
        <v>#REF!</v>
      </c>
      <c r="F86" s="15" t="e">
        <f>#REF!</f>
        <v>#REF!</v>
      </c>
      <c r="G86" s="16" t="e">
        <f>#REF!</f>
        <v>#REF!</v>
      </c>
      <c r="H86" s="15" t="e">
        <f t="shared" si="0"/>
        <v>#REF!</v>
      </c>
      <c r="I86" s="16" t="e">
        <f t="shared" si="1"/>
        <v>#REF!</v>
      </c>
      <c r="J86" s="16" t="e">
        <f>H86*(Wellbore_Pressure!$N$33)/B86</f>
        <v>#REF!</v>
      </c>
    </row>
    <row r="87" spans="1:10" x14ac:dyDescent="0.25">
      <c r="B87" s="15" t="e">
        <f>#REF!</f>
        <v>#REF!</v>
      </c>
      <c r="C87" s="15" t="e">
        <f>#REF!</f>
        <v>#REF!</v>
      </c>
      <c r="D87" s="15" t="e">
        <f>#REF!</f>
        <v>#REF!</v>
      </c>
      <c r="E87" s="16" t="e">
        <f>#REF!</f>
        <v>#REF!</v>
      </c>
      <c r="F87" s="15" t="e">
        <f>#REF!</f>
        <v>#REF!</v>
      </c>
      <c r="G87" s="16" t="e">
        <f>#REF!</f>
        <v>#REF!</v>
      </c>
      <c r="H87" s="15" t="e">
        <f t="shared" si="0"/>
        <v>#REF!</v>
      </c>
      <c r="I87" s="16" t="e">
        <f t="shared" si="1"/>
        <v>#REF!</v>
      </c>
      <c r="J87" s="16" t="e">
        <f>H87*(Wellbore_Pressure!$N$33)/B87</f>
        <v>#REF!</v>
      </c>
    </row>
    <row r="88" spans="1:10" x14ac:dyDescent="0.25">
      <c r="B88" s="15" t="e">
        <f>#REF!</f>
        <v>#REF!</v>
      </c>
      <c r="C88" s="15" t="e">
        <f>#REF!</f>
        <v>#REF!</v>
      </c>
      <c r="D88" s="15" t="e">
        <f>#REF!</f>
        <v>#REF!</v>
      </c>
      <c r="E88" s="16" t="e">
        <f>#REF!</f>
        <v>#REF!</v>
      </c>
      <c r="F88" s="15" t="e">
        <f>#REF!</f>
        <v>#REF!</v>
      </c>
      <c r="G88" s="16" t="e">
        <f>#REF!</f>
        <v>#REF!</v>
      </c>
      <c r="H88" s="15" t="e">
        <f t="shared" si="0"/>
        <v>#REF!</v>
      </c>
      <c r="I88" s="16" t="e">
        <f t="shared" si="1"/>
        <v>#REF!</v>
      </c>
      <c r="J88" s="16" t="e">
        <f>H88*(Wellbore_Pressure!$N$33)/B88</f>
        <v>#REF!</v>
      </c>
    </row>
    <row r="89" spans="1:10" x14ac:dyDescent="0.25">
      <c r="B89" s="15" t="e">
        <f>#REF!</f>
        <v>#REF!</v>
      </c>
      <c r="C89" s="15" t="e">
        <f>#REF!</f>
        <v>#REF!</v>
      </c>
      <c r="D89" s="15" t="e">
        <f>#REF!</f>
        <v>#REF!</v>
      </c>
      <c r="E89" s="16" t="e">
        <f>#REF!</f>
        <v>#REF!</v>
      </c>
      <c r="F89" s="15" t="e">
        <f>#REF!</f>
        <v>#REF!</v>
      </c>
      <c r="G89" s="16" t="e">
        <f>#REF!</f>
        <v>#REF!</v>
      </c>
      <c r="H89" s="15" t="e">
        <f t="shared" si="0"/>
        <v>#REF!</v>
      </c>
      <c r="I89" s="16" t="e">
        <f t="shared" si="1"/>
        <v>#REF!</v>
      </c>
      <c r="J89" s="16" t="e">
        <f>H89*(Wellbore_Pressure!$N$33)/B89</f>
        <v>#REF!</v>
      </c>
    </row>
    <row r="90" spans="1:10" x14ac:dyDescent="0.25">
      <c r="B90" s="15" t="e">
        <f>#REF!</f>
        <v>#REF!</v>
      </c>
      <c r="C90" s="15" t="e">
        <f>#REF!</f>
        <v>#REF!</v>
      </c>
      <c r="D90" s="15" t="e">
        <f>#REF!</f>
        <v>#REF!</v>
      </c>
      <c r="E90" s="16" t="e">
        <f>#REF!</f>
        <v>#REF!</v>
      </c>
      <c r="F90" s="15" t="e">
        <f>#REF!</f>
        <v>#REF!</v>
      </c>
      <c r="G90" s="16" t="e">
        <f>#REF!</f>
        <v>#REF!</v>
      </c>
      <c r="H90" s="15" t="e">
        <f t="shared" si="0"/>
        <v>#REF!</v>
      </c>
      <c r="I90" s="16" t="e">
        <f t="shared" si="1"/>
        <v>#REF!</v>
      </c>
      <c r="J90" s="16" t="e">
        <f>H90*(Wellbore_Pressure!$N$33)/B90</f>
        <v>#REF!</v>
      </c>
    </row>
    <row r="91" spans="1:10" x14ac:dyDescent="0.25">
      <c r="A91" s="27" t="s">
        <v>4</v>
      </c>
      <c r="B91" s="28" t="e">
        <f>#REF!</f>
        <v>#REF!</v>
      </c>
      <c r="C91" s="28" t="e">
        <f>#REF!</f>
        <v>#REF!</v>
      </c>
      <c r="D91" s="28" t="e">
        <f>#REF!</f>
        <v>#REF!</v>
      </c>
      <c r="E91" s="29" t="e">
        <f>#REF!</f>
        <v>#REF!</v>
      </c>
      <c r="F91" s="28" t="e">
        <f>#REF!</f>
        <v>#REF!</v>
      </c>
      <c r="G91" s="29" t="e">
        <f>#REF!</f>
        <v>#REF!</v>
      </c>
      <c r="H91" s="28" t="e">
        <f t="shared" si="0"/>
        <v>#REF!</v>
      </c>
      <c r="I91" s="29" t="e">
        <f t="shared" si="1"/>
        <v>#REF!</v>
      </c>
      <c r="J91" s="29" t="e">
        <f>H91*(Wellbore_Pressure!$N$33)/B91</f>
        <v>#REF!</v>
      </c>
    </row>
    <row r="93" spans="1:10" x14ac:dyDescent="0.25">
      <c r="A93" s="27" t="s">
        <v>33</v>
      </c>
      <c r="B93" s="28" t="e">
        <f>B81</f>
        <v>#REF!</v>
      </c>
      <c r="C93" s="28" t="e">
        <f>C81</f>
        <v>#REF!</v>
      </c>
      <c r="D93" s="28">
        <f>Hydro_Litho_Pp!AI31</f>
        <v>0</v>
      </c>
      <c r="E93" s="29">
        <f>Hydro_Litho_Pp!AI32</f>
        <v>0</v>
      </c>
      <c r="F93" s="28" t="e">
        <f>F81</f>
        <v>#REF!</v>
      </c>
      <c r="G93" s="29" t="e">
        <f>G81</f>
        <v>#REF!</v>
      </c>
      <c r="H93" s="28" t="e">
        <f>($B$3*(F93-D93))+D93</f>
        <v>#REF!</v>
      </c>
      <c r="I93" s="29" t="e">
        <f>($B$3*(G93-E93))+E93</f>
        <v>#REF!</v>
      </c>
      <c r="J93" s="29" t="e">
        <f>H93*(Wellbore_Pressure!$N$33)/B93</f>
        <v>#REF!</v>
      </c>
    </row>
  </sheetData>
  <mergeCells count="11">
    <mergeCell ref="G1:H4"/>
    <mergeCell ref="D59:E59"/>
    <mergeCell ref="F59:G59"/>
    <mergeCell ref="B59:C59"/>
    <mergeCell ref="H59:J59"/>
    <mergeCell ref="B11:D11"/>
    <mergeCell ref="B6:D6"/>
    <mergeCell ref="A5:D5"/>
    <mergeCell ref="A10:D10"/>
    <mergeCell ref="A1:D1"/>
    <mergeCell ref="G27:I2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E1:P13"/>
  <sheetViews>
    <sheetView tabSelected="1" workbookViewId="0">
      <selection activeCell="N11" sqref="N11"/>
    </sheetView>
  </sheetViews>
  <sheetFormatPr defaultRowHeight="15" x14ac:dyDescent="0.25"/>
  <cols>
    <col min="10" max="10" width="27" customWidth="1"/>
    <col min="13" max="13" width="17.7109375" customWidth="1"/>
    <col min="14" max="14" width="14.85546875" customWidth="1"/>
    <col min="15" max="15" width="11.7109375" customWidth="1"/>
    <col min="16" max="16" width="23" customWidth="1"/>
  </cols>
  <sheetData>
    <row r="1" spans="5:16" ht="15" customHeight="1" x14ac:dyDescent="0.25">
      <c r="E1" s="150" t="s">
        <v>17</v>
      </c>
      <c r="F1" s="152" t="s">
        <v>64</v>
      </c>
      <c r="G1" s="153"/>
      <c r="H1" s="152" t="s">
        <v>65</v>
      </c>
      <c r="I1" s="153"/>
      <c r="J1" s="99" t="s">
        <v>67</v>
      </c>
      <c r="M1" s="150" t="s">
        <v>17</v>
      </c>
      <c r="N1" s="152" t="s">
        <v>60</v>
      </c>
      <c r="O1" s="157"/>
      <c r="P1" s="96" t="s">
        <v>62</v>
      </c>
    </row>
    <row r="2" spans="5:16" ht="18.75" thickBot="1" x14ac:dyDescent="0.3">
      <c r="E2" s="151"/>
      <c r="F2" s="154"/>
      <c r="G2" s="155"/>
      <c r="H2" s="154"/>
      <c r="I2" s="155"/>
      <c r="J2" s="100" t="s">
        <v>66</v>
      </c>
      <c r="M2" s="156"/>
      <c r="N2" s="154" t="s">
        <v>61</v>
      </c>
      <c r="O2" s="158"/>
      <c r="P2" s="100" t="s">
        <v>63</v>
      </c>
    </row>
    <row r="3" spans="5:16" ht="15.75" thickBot="1" x14ac:dyDescent="0.3">
      <c r="E3" s="97" t="s">
        <v>1</v>
      </c>
      <c r="F3" s="98" t="s">
        <v>6</v>
      </c>
      <c r="G3" s="98" t="s">
        <v>26</v>
      </c>
      <c r="H3" s="98" t="s">
        <v>6</v>
      </c>
      <c r="I3" s="98" t="s">
        <v>26</v>
      </c>
      <c r="J3" s="98" t="s">
        <v>6</v>
      </c>
      <c r="M3" s="97" t="s">
        <v>1</v>
      </c>
      <c r="N3" s="98" t="s">
        <v>6</v>
      </c>
      <c r="O3" s="98" t="s">
        <v>26</v>
      </c>
      <c r="P3" s="98" t="s">
        <v>6</v>
      </c>
    </row>
    <row r="4" spans="5:16" ht="15.75" thickBot="1" x14ac:dyDescent="0.3">
      <c r="E4" s="101">
        <v>5000</v>
      </c>
      <c r="F4" s="102">
        <f>E4*0.44</f>
        <v>2200</v>
      </c>
      <c r="G4" s="103">
        <f>F4/(0.052*E4)</f>
        <v>8.4615384615384617</v>
      </c>
      <c r="H4" s="102">
        <f>E4*0.44</f>
        <v>2200</v>
      </c>
      <c r="I4" s="103">
        <f>H4/(0.052*E4)</f>
        <v>8.4615384615384617</v>
      </c>
      <c r="J4" s="102">
        <v>0</v>
      </c>
      <c r="M4" s="101">
        <v>5000</v>
      </c>
      <c r="N4" s="104"/>
      <c r="O4" s="105"/>
      <c r="P4" s="106"/>
    </row>
    <row r="5" spans="5:16" ht="15.75" thickBot="1" x14ac:dyDescent="0.3">
      <c r="E5" s="101">
        <v>8000</v>
      </c>
      <c r="F5" s="102"/>
      <c r="G5" s="103"/>
      <c r="H5" s="102">
        <f>H$4+(E5-E$4)*1</f>
        <v>5200</v>
      </c>
      <c r="I5" s="103"/>
      <c r="J5" s="102"/>
      <c r="M5" s="101">
        <v>8000</v>
      </c>
      <c r="N5" s="104"/>
      <c r="O5" s="105"/>
      <c r="P5" s="106"/>
    </row>
    <row r="6" spans="5:16" ht="15.75" thickBot="1" x14ac:dyDescent="0.3">
      <c r="E6" s="101">
        <v>12000</v>
      </c>
      <c r="F6" s="102"/>
      <c r="G6" s="103"/>
      <c r="H6" s="102"/>
      <c r="I6" s="103"/>
      <c r="J6" s="102"/>
      <c r="M6" s="101">
        <v>12000</v>
      </c>
      <c r="N6" s="104"/>
      <c r="O6" s="105"/>
      <c r="P6" s="106"/>
    </row>
    <row r="7" spans="5:16" ht="15.75" thickBot="1" x14ac:dyDescent="0.3">
      <c r="E7" s="101">
        <v>15000</v>
      </c>
      <c r="F7" s="102"/>
      <c r="G7" s="103"/>
      <c r="H7" s="102"/>
      <c r="I7" s="103"/>
      <c r="J7" s="102"/>
      <c r="M7" s="101">
        <v>15000</v>
      </c>
      <c r="N7" s="104">
        <f>N8+(M7-M8)*0.1</f>
        <v>11700</v>
      </c>
      <c r="O7" s="105">
        <f t="shared" ref="O7" si="0">N7/(0.052*M7)</f>
        <v>15</v>
      </c>
      <c r="P7" s="106">
        <f t="shared" ref="P7:P8" si="1">N7-(M7*0.44)</f>
        <v>5100</v>
      </c>
    </row>
    <row r="8" spans="5:16" ht="15.75" thickBot="1" x14ac:dyDescent="0.3">
      <c r="E8" s="101">
        <v>18000</v>
      </c>
      <c r="F8" s="102"/>
      <c r="G8" s="103"/>
      <c r="H8" s="102"/>
      <c r="I8" s="103"/>
      <c r="J8" s="102"/>
      <c r="M8" s="101">
        <v>18000</v>
      </c>
      <c r="N8" s="106">
        <v>12000</v>
      </c>
      <c r="O8" s="105">
        <f>N8/(0.052*M8)</f>
        <v>12.820512820512821</v>
      </c>
      <c r="P8" s="106">
        <f t="shared" si="1"/>
        <v>4080</v>
      </c>
    </row>
    <row r="9" spans="5:16" ht="15.75" thickBot="1" x14ac:dyDescent="0.3">
      <c r="E9" s="101">
        <v>20000</v>
      </c>
      <c r="F9" s="102"/>
      <c r="G9" s="103"/>
      <c r="H9" s="102"/>
      <c r="I9" s="103"/>
      <c r="J9" s="102"/>
    </row>
    <row r="13" spans="5:16" ht="15" customHeight="1" x14ac:dyDescent="0.25"/>
  </sheetData>
  <mergeCells count="6">
    <mergeCell ref="E1:E2"/>
    <mergeCell ref="F1:G2"/>
    <mergeCell ref="H1:I2"/>
    <mergeCell ref="M1:M2"/>
    <mergeCell ref="N1:O1"/>
    <mergeCell ref="N2:O2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G7:AQ159"/>
  <sheetViews>
    <sheetView topLeftCell="A169" zoomScale="70" zoomScaleNormal="70" workbookViewId="0">
      <selection activeCell="AI229" sqref="AI229:AI230"/>
    </sheetView>
  </sheetViews>
  <sheetFormatPr defaultRowHeight="15" x14ac:dyDescent="0.25"/>
  <cols>
    <col min="12" max="12" width="9.140625" customWidth="1"/>
  </cols>
  <sheetData>
    <row r="7" spans="33:43" x14ac:dyDescent="0.25">
      <c r="AG7" s="2" t="s">
        <v>17</v>
      </c>
      <c r="AH7" s="159" t="s">
        <v>19</v>
      </c>
      <c r="AI7" s="159"/>
      <c r="AJ7" s="159" t="s">
        <v>20</v>
      </c>
      <c r="AK7" s="159"/>
      <c r="AL7" s="2" t="s">
        <v>35</v>
      </c>
      <c r="AM7" s="1"/>
      <c r="AN7" s="2" t="s">
        <v>17</v>
      </c>
      <c r="AO7" s="159" t="s">
        <v>36</v>
      </c>
      <c r="AP7" s="159"/>
      <c r="AQ7" s="2" t="s">
        <v>35</v>
      </c>
    </row>
    <row r="8" spans="33:43" x14ac:dyDescent="0.25">
      <c r="AG8" s="4" t="s">
        <v>2</v>
      </c>
      <c r="AH8" s="4" t="s">
        <v>7</v>
      </c>
      <c r="AI8" s="4" t="s">
        <v>26</v>
      </c>
      <c r="AJ8" s="4" t="s">
        <v>7</v>
      </c>
      <c r="AK8" s="4" t="s">
        <v>26</v>
      </c>
      <c r="AL8" s="4" t="s">
        <v>7</v>
      </c>
      <c r="AM8" s="1"/>
      <c r="AN8" s="4" t="s">
        <v>2</v>
      </c>
      <c r="AO8" s="4" t="s">
        <v>7</v>
      </c>
      <c r="AP8" s="4" t="s">
        <v>26</v>
      </c>
      <c r="AQ8" s="4" t="s">
        <v>7</v>
      </c>
    </row>
    <row r="9" spans="33:43" x14ac:dyDescent="0.25">
      <c r="AG9" s="8">
        <v>1500</v>
      </c>
      <c r="AH9" s="2"/>
      <c r="AI9" s="2"/>
      <c r="AJ9" s="2"/>
      <c r="AK9" s="2"/>
      <c r="AL9" s="2"/>
      <c r="AM9" s="1"/>
      <c r="AN9" s="8">
        <v>1500</v>
      </c>
      <c r="AO9" s="2"/>
      <c r="AP9" s="2"/>
      <c r="AQ9" s="2"/>
    </row>
    <row r="10" spans="33:43" x14ac:dyDescent="0.25">
      <c r="AG10" s="8">
        <v>3000</v>
      </c>
      <c r="AH10" s="2"/>
      <c r="AI10" s="2"/>
      <c r="AJ10" s="2"/>
      <c r="AK10" s="2"/>
      <c r="AL10" s="2"/>
      <c r="AM10" s="1"/>
      <c r="AN10" s="8">
        <v>3000</v>
      </c>
      <c r="AO10" s="2"/>
      <c r="AP10" s="2"/>
      <c r="AQ10" s="2"/>
    </row>
    <row r="11" spans="33:43" x14ac:dyDescent="0.25">
      <c r="AG11" s="8">
        <v>4000</v>
      </c>
      <c r="AH11" s="2"/>
      <c r="AI11" s="2"/>
      <c r="AJ11" s="2"/>
      <c r="AK11" s="2"/>
      <c r="AL11" s="2"/>
      <c r="AM11" s="1"/>
      <c r="AN11" s="8">
        <v>4000</v>
      </c>
      <c r="AO11" s="2"/>
      <c r="AP11" s="2"/>
      <c r="AQ11" s="2"/>
    </row>
    <row r="12" spans="33:43" x14ac:dyDescent="0.25">
      <c r="AG12" s="8">
        <v>5000</v>
      </c>
      <c r="AH12" s="2"/>
      <c r="AI12" s="2"/>
      <c r="AJ12" s="2"/>
      <c r="AK12" s="2"/>
      <c r="AL12" s="2"/>
      <c r="AM12" s="1"/>
      <c r="AN12" s="8">
        <v>5000</v>
      </c>
      <c r="AO12" s="2"/>
      <c r="AP12" s="2"/>
      <c r="AQ12" s="2"/>
    </row>
    <row r="13" spans="33:43" x14ac:dyDescent="0.25">
      <c r="AG13" s="8">
        <v>5500</v>
      </c>
      <c r="AH13" s="2"/>
      <c r="AI13" s="2"/>
      <c r="AJ13" s="2"/>
      <c r="AK13" s="2"/>
      <c r="AL13" s="2"/>
      <c r="AM13" s="1"/>
      <c r="AN13" s="8">
        <v>5500</v>
      </c>
      <c r="AO13" s="2"/>
      <c r="AP13" s="2"/>
      <c r="AQ13" s="2"/>
    </row>
    <row r="14" spans="33:43" x14ac:dyDescent="0.25">
      <c r="AG14" s="8">
        <v>6000</v>
      </c>
      <c r="AH14" s="2"/>
      <c r="AI14" s="2"/>
      <c r="AJ14" s="2"/>
      <c r="AK14" s="2"/>
      <c r="AL14" s="2"/>
      <c r="AM14" s="1"/>
    </row>
    <row r="33" spans="34:35" x14ac:dyDescent="0.25">
      <c r="AH33">
        <v>1500</v>
      </c>
      <c r="AI33" s="9" t="e">
        <f>Wellbore_Pressure!E54-Hydro_Litho_Pp!AH6</f>
        <v>#DIV/0!</v>
      </c>
    </row>
    <row r="34" spans="34:35" x14ac:dyDescent="0.25">
      <c r="AH34">
        <v>5500</v>
      </c>
      <c r="AI34" s="1">
        <v>15</v>
      </c>
    </row>
    <row r="158" spans="33:34" x14ac:dyDescent="0.25">
      <c r="AG158">
        <v>5000</v>
      </c>
      <c r="AH158" s="9" t="e">
        <f>Wellbore_Pressure!D54-Hydro_Litho_Pp!AG6</f>
        <v>#DIV/0!</v>
      </c>
    </row>
    <row r="159" spans="33:34" x14ac:dyDescent="0.25">
      <c r="AG159">
        <v>18000</v>
      </c>
      <c r="AH159" s="9" t="e">
        <f>#REF!</f>
        <v>#REF!</v>
      </c>
    </row>
  </sheetData>
  <mergeCells count="3">
    <mergeCell ref="AH7:AI7"/>
    <mergeCell ref="AJ7:AK7"/>
    <mergeCell ref="AO7:AP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DA4971CF953B4DA641722AC59885C2" ma:contentTypeVersion="0" ma:contentTypeDescription="Create a new document." ma:contentTypeScope="" ma:versionID="b5911e1f9320b0f8bb0122ff599e31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76E1C7-D921-40C5-82C1-3328DCC2BB6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E67A00-AC1F-4C72-879F-82C8D4CC2783}"/>
</file>

<file path=customXml/itemProps3.xml><?xml version="1.0" encoding="utf-8"?>
<ds:datastoreItem xmlns:ds="http://schemas.openxmlformats.org/officeDocument/2006/customXml" ds:itemID="{DEE4F976-5756-4F21-BE24-F15556379F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Hydro_Litho_Pp</vt:lpstr>
      <vt:lpstr>Wellbore_Pressure</vt:lpstr>
      <vt:lpstr>Least Principal</vt:lpstr>
      <vt:lpstr>HW_1_answer_calculation</vt:lpstr>
      <vt:lpstr>Sheet1</vt:lpstr>
      <vt:lpstr>gradients</vt:lpstr>
      <vt:lpstr>pressure</vt:lpstr>
      <vt:lpstr>units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Flemings, Peter B</cp:lastModifiedBy>
  <dcterms:created xsi:type="dcterms:W3CDTF">2011-08-18T17:16:54Z</dcterms:created>
  <dcterms:modified xsi:type="dcterms:W3CDTF">2021-01-26T13:37:52Z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0x01010005DA4971CF953B4DA641722AC59885C2</vt:lpwstr>
  </property>
</Properties>
</file>